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Cian\Documents\R\LGFOutlook2021\"/>
    </mc:Choice>
  </mc:AlternateContent>
  <xr:revisionPtr revIDLastSave="0" documentId="13_ncr:1_{8BBCAD17-A9E8-4F1B-BADC-59A0ECAACF19}" xr6:coauthVersionLast="46" xr6:coauthVersionMax="46" xr10:uidLastSave="{00000000-0000-0000-0000-000000000000}"/>
  <bookViews>
    <workbookView xWindow="732" yWindow="540" windowWidth="29256" windowHeight="16140" xr2:uid="{27149B0B-EC08-4C55-87B5-5353A506D158}"/>
  </bookViews>
  <sheets>
    <sheet name="Contents" sheetId="1" r:id="rId1"/>
    <sheet name="1. Funding gap" sheetId="18" r:id="rId2"/>
    <sheet name="1.1" sheetId="12" r:id="rId3"/>
    <sheet name="2. Spending pressures" sheetId="19" r:id="rId4"/>
    <sheet name="2.1" sheetId="4" r:id="rId5"/>
    <sheet name="2.2" sheetId="5" r:id="rId6"/>
    <sheet name="2.3" sheetId="7" r:id="rId7"/>
    <sheet name="3. Revenues outlook" sheetId="21" r:id="rId8"/>
    <sheet name="3.1" sheetId="10" r:id="rId9"/>
    <sheet name="3.2" sheetId="11" r:id="rId10"/>
    <sheet name="3.3" sheetId="13" r:id="rId11"/>
    <sheet name="3.4" sheetId="14" r:id="rId12"/>
  </sheets>
  <definedNames>
    <definedName name="_xlnm.Print_Area" localSheetId="2">'1.1'!$1:$32</definedName>
    <definedName name="_xlnm.Print_Area" localSheetId="3">'2. Spending pressures'!$A$1:$J$31</definedName>
    <definedName name="_xlnm.Print_Area" localSheetId="4">'2.1'!$A$1:$J$136</definedName>
    <definedName name="_xlnm.Print_Area" localSheetId="5">'2.2'!$A$1:$J$136</definedName>
    <definedName name="_xlnm.Print_Area" localSheetId="6">'2.3'!$A$1:$J$137</definedName>
    <definedName name="_xlnm.Print_Area" localSheetId="7">'3. Revenues outlook'!$A$1:$J$31</definedName>
    <definedName name="_xlnm.Print_Area" localSheetId="8">'3.1'!$A$1:$J$36</definedName>
    <definedName name="_xlnm.Print_Area" localSheetId="9">'3.2'!$A$1:$J$36</definedName>
    <definedName name="_xlnm.Print_Area" localSheetId="10">'3.3'!$A$1:$J$36</definedName>
    <definedName name="_xlnm.Print_Area" localSheetId="11">'3.4'!$A$1:$J$36</definedName>
    <definedName name="_xlnm.Print_Area" localSheetId="0">Contents!$A$1:$J$49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0" i="12" l="1"/>
  <c r="X20" i="12" s="1"/>
  <c r="Y20" i="12" s="1"/>
  <c r="Z20" i="12" s="1"/>
  <c r="T119" i="21"/>
  <c r="T109" i="21"/>
  <c r="Z49" i="21"/>
  <c r="Y49" i="21"/>
  <c r="X49" i="21"/>
  <c r="W49" i="21"/>
  <c r="V49" i="21"/>
  <c r="U49" i="21"/>
  <c r="T49" i="21"/>
  <c r="T48" i="21"/>
  <c r="T47" i="21"/>
  <c r="R25" i="21"/>
  <c r="Q25" i="21"/>
  <c r="P25" i="21"/>
  <c r="O25" i="21"/>
  <c r="V22" i="21"/>
  <c r="V108" i="21" s="1"/>
  <c r="V117" i="21" s="1"/>
  <c r="U22" i="21"/>
  <c r="U108" i="21" s="1"/>
  <c r="U117" i="21" s="1"/>
  <c r="T22" i="21"/>
  <c r="T108" i="21" s="1"/>
  <c r="S22" i="21"/>
  <c r="S29" i="21" s="1"/>
  <c r="R22" i="21"/>
  <c r="R29" i="21" s="1"/>
  <c r="Q22" i="21"/>
  <c r="Q29" i="21" s="1"/>
  <c r="P22" i="21"/>
  <c r="P29" i="21" s="1"/>
  <c r="O22" i="21"/>
  <c r="O29" i="21" s="1"/>
  <c r="N22" i="21"/>
  <c r="N25" i="21" s="1"/>
  <c r="W20" i="21"/>
  <c r="X20" i="21" s="1"/>
  <c r="Y20" i="21" s="1"/>
  <c r="Z20" i="21" s="1"/>
  <c r="U20" i="21"/>
  <c r="T20" i="21"/>
  <c r="S20" i="21"/>
  <c r="R20" i="21"/>
  <c r="Q20" i="21"/>
  <c r="P20" i="21"/>
  <c r="O20" i="21"/>
  <c r="V19" i="21"/>
  <c r="U19" i="21"/>
  <c r="T19" i="21"/>
  <c r="S19" i="21"/>
  <c r="R19" i="21"/>
  <c r="Q19" i="21"/>
  <c r="P19" i="21"/>
  <c r="O19" i="21"/>
  <c r="W17" i="21"/>
  <c r="W16" i="21"/>
  <c r="W22" i="21" s="1"/>
  <c r="T119" i="19"/>
  <c r="T109" i="19"/>
  <c r="Z49" i="19"/>
  <c r="Y49" i="19"/>
  <c r="X49" i="19"/>
  <c r="W49" i="19"/>
  <c r="V49" i="19"/>
  <c r="U49" i="19"/>
  <c r="T49" i="19"/>
  <c r="T47" i="19"/>
  <c r="T48" i="19" s="1"/>
  <c r="R25" i="19"/>
  <c r="Q25" i="19"/>
  <c r="P25" i="19"/>
  <c r="O25" i="19"/>
  <c r="V22" i="19"/>
  <c r="V108" i="19" s="1"/>
  <c r="V117" i="19" s="1"/>
  <c r="U22" i="19"/>
  <c r="U108" i="19" s="1"/>
  <c r="U117" i="19" s="1"/>
  <c r="T22" i="19"/>
  <c r="T108" i="19" s="1"/>
  <c r="S22" i="19"/>
  <c r="S29" i="19" s="1"/>
  <c r="R22" i="19"/>
  <c r="R29" i="19" s="1"/>
  <c r="Q22" i="19"/>
  <c r="Q29" i="19" s="1"/>
  <c r="P22" i="19"/>
  <c r="P29" i="19" s="1"/>
  <c r="O22" i="19"/>
  <c r="O29" i="19" s="1"/>
  <c r="N22" i="19"/>
  <c r="N25" i="19" s="1"/>
  <c r="W20" i="19"/>
  <c r="X20" i="19" s="1"/>
  <c r="Y20" i="19" s="1"/>
  <c r="Z20" i="19" s="1"/>
  <c r="U20" i="19"/>
  <c r="T20" i="19"/>
  <c r="S20" i="19"/>
  <c r="R20" i="19"/>
  <c r="Q20" i="19"/>
  <c r="P20" i="19"/>
  <c r="O20" i="19"/>
  <c r="V19" i="19"/>
  <c r="U19" i="19"/>
  <c r="T19" i="19"/>
  <c r="S19" i="19"/>
  <c r="R19" i="19"/>
  <c r="Q19" i="19"/>
  <c r="P19" i="19"/>
  <c r="O19" i="19"/>
  <c r="W17" i="19"/>
  <c r="X17" i="19" s="1"/>
  <c r="Y17" i="19" s="1"/>
  <c r="Z17" i="19" s="1"/>
  <c r="W16" i="19"/>
  <c r="X16" i="19" s="1"/>
  <c r="T119" i="18"/>
  <c r="T109" i="18"/>
  <c r="T51" i="18"/>
  <c r="Z49" i="18"/>
  <c r="Y49" i="18"/>
  <c r="X49" i="18"/>
  <c r="W49" i="18"/>
  <c r="V49" i="18"/>
  <c r="U49" i="18"/>
  <c r="T49" i="18"/>
  <c r="T48" i="18"/>
  <c r="V47" i="18"/>
  <c r="U47" i="18"/>
  <c r="T47" i="18"/>
  <c r="T29" i="18"/>
  <c r="T30" i="18" s="1"/>
  <c r="S29" i="18"/>
  <c r="S30" i="18" s="1"/>
  <c r="T25" i="18"/>
  <c r="S25" i="18"/>
  <c r="Q25" i="18"/>
  <c r="P25" i="18"/>
  <c r="O25" i="18"/>
  <c r="N25" i="18"/>
  <c r="V22" i="18"/>
  <c r="V108" i="18" s="1"/>
  <c r="V117" i="18" s="1"/>
  <c r="U22" i="18"/>
  <c r="U108" i="18" s="1"/>
  <c r="U117" i="18" s="1"/>
  <c r="T22" i="18"/>
  <c r="T108" i="18" s="1"/>
  <c r="S22" i="18"/>
  <c r="R22" i="18"/>
  <c r="R29" i="18" s="1"/>
  <c r="Q22" i="18"/>
  <c r="Q29" i="18" s="1"/>
  <c r="P22" i="18"/>
  <c r="P29" i="18" s="1"/>
  <c r="O22" i="18"/>
  <c r="O29" i="18" s="1"/>
  <c r="N22" i="18"/>
  <c r="N29" i="18" s="1"/>
  <c r="W20" i="18"/>
  <c r="X20" i="18" s="1"/>
  <c r="Y20" i="18" s="1"/>
  <c r="Z20" i="18" s="1"/>
  <c r="U20" i="18"/>
  <c r="T20" i="18"/>
  <c r="S20" i="18"/>
  <c r="R20" i="18"/>
  <c r="Q20" i="18"/>
  <c r="P20" i="18"/>
  <c r="O20" i="18"/>
  <c r="V19" i="18"/>
  <c r="U19" i="18"/>
  <c r="T19" i="18"/>
  <c r="S19" i="18"/>
  <c r="R19" i="18"/>
  <c r="Q19" i="18"/>
  <c r="P19" i="18"/>
  <c r="O19" i="18"/>
  <c r="W17" i="18"/>
  <c r="W16" i="18"/>
  <c r="W22" i="18" s="1"/>
  <c r="E17" i="14"/>
  <c r="D17" i="14"/>
  <c r="I11" i="14"/>
  <c r="I17" i="14" s="1"/>
  <c r="I19" i="14" s="1"/>
  <c r="H11" i="14"/>
  <c r="H17" i="14" s="1"/>
  <c r="H19" i="14" s="1"/>
  <c r="G11" i="14"/>
  <c r="G17" i="14" s="1"/>
  <c r="G19" i="14" s="1"/>
  <c r="G21" i="14" s="1"/>
  <c r="F11" i="14"/>
  <c r="F17" i="14" s="1"/>
  <c r="F19" i="14" s="1"/>
  <c r="F21" i="14" s="1"/>
  <c r="E11" i="14"/>
  <c r="D11" i="14"/>
  <c r="C11" i="14"/>
  <c r="C17" i="14" s="1"/>
  <c r="Z50" i="12"/>
  <c r="Y50" i="12"/>
  <c r="X50" i="12"/>
  <c r="W50" i="12"/>
  <c r="V50" i="12"/>
  <c r="U50" i="12"/>
  <c r="T50" i="12"/>
  <c r="T48" i="12"/>
  <c r="O20" i="12"/>
  <c r="W16" i="12"/>
  <c r="V19" i="12"/>
  <c r="U19" i="12"/>
  <c r="V22" i="12"/>
  <c r="U20" i="12"/>
  <c r="T20" i="12"/>
  <c r="S20" i="12"/>
  <c r="R22" i="12"/>
  <c r="R29" i="12" s="1"/>
  <c r="Q22" i="12"/>
  <c r="Q29" i="12" s="1"/>
  <c r="P20" i="12"/>
  <c r="T19" i="12"/>
  <c r="S19" i="12"/>
  <c r="R19" i="12"/>
  <c r="Q19" i="12"/>
  <c r="P22" i="12"/>
  <c r="O22" i="12"/>
  <c r="N22" i="12"/>
  <c r="W108" i="21" l="1"/>
  <c r="W117" i="21" s="1"/>
  <c r="X17" i="21"/>
  <c r="Y17" i="21" s="1"/>
  <c r="Z17" i="21" s="1"/>
  <c r="O30" i="21"/>
  <c r="O13" i="21"/>
  <c r="P30" i="21"/>
  <c r="P13" i="21"/>
  <c r="R30" i="21"/>
  <c r="R13" i="21"/>
  <c r="Q30" i="21"/>
  <c r="Q13" i="21"/>
  <c r="S30" i="21"/>
  <c r="S13" i="21"/>
  <c r="S25" i="21"/>
  <c r="X16" i="21"/>
  <c r="T25" i="21"/>
  <c r="T51" i="21"/>
  <c r="T52" i="21"/>
  <c r="U51" i="21" s="1"/>
  <c r="U53" i="21" s="1"/>
  <c r="N29" i="21"/>
  <c r="T29" i="21"/>
  <c r="Y16" i="19"/>
  <c r="X22" i="19"/>
  <c r="O30" i="19"/>
  <c r="O13" i="19"/>
  <c r="Q30" i="19"/>
  <c r="Q13" i="19"/>
  <c r="P30" i="19"/>
  <c r="P13" i="19"/>
  <c r="R30" i="19"/>
  <c r="R13" i="19"/>
  <c r="S30" i="19"/>
  <c r="S13" i="19"/>
  <c r="S25" i="19"/>
  <c r="W22" i="19"/>
  <c r="T25" i="19"/>
  <c r="T51" i="19"/>
  <c r="T52" i="19"/>
  <c r="U51" i="19" s="1"/>
  <c r="U53" i="19" s="1"/>
  <c r="T29" i="19"/>
  <c r="N29" i="19"/>
  <c r="N13" i="18"/>
  <c r="N30" i="18"/>
  <c r="W108" i="18"/>
  <c r="W117" i="18" s="1"/>
  <c r="W47" i="18"/>
  <c r="O30" i="18"/>
  <c r="O13" i="18"/>
  <c r="P30" i="18"/>
  <c r="P13" i="18"/>
  <c r="Q30" i="18"/>
  <c r="Q13" i="18"/>
  <c r="X17" i="18"/>
  <c r="Y17" i="18" s="1"/>
  <c r="Z17" i="18" s="1"/>
  <c r="R30" i="18"/>
  <c r="R13" i="18"/>
  <c r="R25" i="18"/>
  <c r="T52" i="18"/>
  <c r="U51" i="18" s="1"/>
  <c r="U53" i="18" s="1"/>
  <c r="Y53" i="18" s="1"/>
  <c r="X16" i="18"/>
  <c r="S13" i="18"/>
  <c r="T13" i="18"/>
  <c r="T120" i="12"/>
  <c r="C21" i="14"/>
  <c r="C25" i="14" s="1"/>
  <c r="C20" i="14"/>
  <c r="C24" i="14"/>
  <c r="H21" i="14"/>
  <c r="I21" i="14"/>
  <c r="D23" i="14"/>
  <c r="E23" i="14"/>
  <c r="D19" i="14"/>
  <c r="D21" i="14" s="1"/>
  <c r="F23" i="14"/>
  <c r="F25" i="14" s="1"/>
  <c r="E19" i="14"/>
  <c r="E21" i="14" s="1"/>
  <c r="G23" i="14"/>
  <c r="G25" i="14" s="1"/>
  <c r="H23" i="14"/>
  <c r="I23" i="14"/>
  <c r="W17" i="12"/>
  <c r="X17" i="12" s="1"/>
  <c r="Y17" i="12" s="1"/>
  <c r="Z17" i="12" s="1"/>
  <c r="P29" i="12"/>
  <c r="P25" i="12"/>
  <c r="O29" i="12"/>
  <c r="O25" i="12"/>
  <c r="X16" i="12"/>
  <c r="V109" i="12"/>
  <c r="V118" i="12" s="1"/>
  <c r="R30" i="12"/>
  <c r="R13" i="12"/>
  <c r="R25" i="12"/>
  <c r="Q30" i="12"/>
  <c r="Q13" i="12"/>
  <c r="Q25" i="12"/>
  <c r="N29" i="12"/>
  <c r="N25" i="12"/>
  <c r="T49" i="12"/>
  <c r="S22" i="12"/>
  <c r="S29" i="12" s="1"/>
  <c r="T22" i="12"/>
  <c r="T52" i="12" s="1"/>
  <c r="U22" i="12"/>
  <c r="T110" i="12"/>
  <c r="Q20" i="12"/>
  <c r="R20" i="12"/>
  <c r="O19" i="12"/>
  <c r="P19" i="12"/>
  <c r="T25" i="12"/>
  <c r="E25" i="14" l="1"/>
  <c r="D25" i="14"/>
  <c r="D27" i="14" s="1"/>
  <c r="D29" i="14" s="1"/>
  <c r="S25" i="12"/>
  <c r="W53" i="21"/>
  <c r="X53" i="21"/>
  <c r="Y53" i="21"/>
  <c r="Z53" i="21"/>
  <c r="U46" i="21"/>
  <c r="U48" i="21" s="1"/>
  <c r="U24" i="21" s="1"/>
  <c r="V53" i="21"/>
  <c r="V46" i="21" s="1"/>
  <c r="V48" i="21" s="1"/>
  <c r="V24" i="21" s="1"/>
  <c r="U47" i="21"/>
  <c r="V47" i="21"/>
  <c r="N13" i="21"/>
  <c r="N30" i="21"/>
  <c r="T30" i="21"/>
  <c r="T13" i="21"/>
  <c r="W46" i="21"/>
  <c r="W47" i="21"/>
  <c r="X22" i="21"/>
  <c r="Y16" i="21"/>
  <c r="Z53" i="19"/>
  <c r="W53" i="19"/>
  <c r="W46" i="19" s="1"/>
  <c r="X53" i="19"/>
  <c r="U46" i="19"/>
  <c r="V53" i="19"/>
  <c r="V46" i="19" s="1"/>
  <c r="V48" i="19" s="1"/>
  <c r="V24" i="19" s="1"/>
  <c r="Y53" i="19"/>
  <c r="N30" i="19"/>
  <c r="N13" i="19"/>
  <c r="U47" i="19"/>
  <c r="V47" i="19"/>
  <c r="X46" i="19"/>
  <c r="X47" i="19"/>
  <c r="X108" i="19"/>
  <c r="X117" i="19" s="1"/>
  <c r="T30" i="19"/>
  <c r="T13" i="19"/>
  <c r="W108" i="19"/>
  <c r="W117" i="19" s="1"/>
  <c r="W47" i="19"/>
  <c r="Y22" i="19"/>
  <c r="Z16" i="19"/>
  <c r="Z22" i="19" s="1"/>
  <c r="T110" i="18"/>
  <c r="T111" i="18"/>
  <c r="U46" i="18"/>
  <c r="U48" i="18" s="1"/>
  <c r="U24" i="18" s="1"/>
  <c r="X22" i="18"/>
  <c r="Y16" i="18"/>
  <c r="Z53" i="18"/>
  <c r="V53" i="18"/>
  <c r="V46" i="18" s="1"/>
  <c r="V48" i="18" s="1"/>
  <c r="V24" i="18" s="1"/>
  <c r="W53" i="18"/>
  <c r="W46" i="18" s="1"/>
  <c r="X53" i="18"/>
  <c r="V48" i="12"/>
  <c r="U48" i="12"/>
  <c r="I25" i="14"/>
  <c r="E27" i="14"/>
  <c r="E29" i="14" s="1"/>
  <c r="G27" i="14"/>
  <c r="G29" i="14" s="1"/>
  <c r="F27" i="14"/>
  <c r="F29" i="14" s="1"/>
  <c r="I27" i="14"/>
  <c r="I29" i="14" s="1"/>
  <c r="H25" i="14"/>
  <c r="C29" i="14"/>
  <c r="C28" i="14"/>
  <c r="W22" i="12"/>
  <c r="W48" i="12" s="1"/>
  <c r="U109" i="12"/>
  <c r="U118" i="12" s="1"/>
  <c r="O30" i="12"/>
  <c r="O13" i="12"/>
  <c r="N13" i="12"/>
  <c r="N30" i="12"/>
  <c r="T109" i="12"/>
  <c r="T53" i="12"/>
  <c r="T29" i="12"/>
  <c r="S30" i="12"/>
  <c r="S13" i="12"/>
  <c r="Y16" i="12"/>
  <c r="X22" i="12"/>
  <c r="P30" i="12"/>
  <c r="P13" i="12"/>
  <c r="D25" i="12" l="1"/>
  <c r="D27" i="12"/>
  <c r="D26" i="12"/>
  <c r="C26" i="12"/>
  <c r="C25" i="12"/>
  <c r="C27" i="12"/>
  <c r="E26" i="12"/>
  <c r="E27" i="12"/>
  <c r="E25" i="12"/>
  <c r="Z16" i="21"/>
  <c r="Z22" i="21" s="1"/>
  <c r="Y22" i="21"/>
  <c r="T110" i="21"/>
  <c r="T111" i="21"/>
  <c r="U109" i="21"/>
  <c r="U118" i="21" s="1"/>
  <c r="U25" i="21"/>
  <c r="U29" i="21"/>
  <c r="W48" i="21"/>
  <c r="W24" i="21" s="1"/>
  <c r="W44" i="21"/>
  <c r="V109" i="21"/>
  <c r="V118" i="21" s="1"/>
  <c r="V25" i="21"/>
  <c r="V29" i="21"/>
  <c r="X46" i="21"/>
  <c r="X47" i="21"/>
  <c r="X108" i="21"/>
  <c r="X117" i="21" s="1"/>
  <c r="W48" i="19"/>
  <c r="W24" i="19" s="1"/>
  <c r="W44" i="19"/>
  <c r="V109" i="19"/>
  <c r="V118" i="19" s="1"/>
  <c r="V25" i="19"/>
  <c r="V29" i="19"/>
  <c r="U48" i="19"/>
  <c r="U24" i="19" s="1"/>
  <c r="Z46" i="19"/>
  <c r="Z47" i="19"/>
  <c r="Z108" i="19"/>
  <c r="Z117" i="19" s="1"/>
  <c r="T110" i="19"/>
  <c r="T111" i="19"/>
  <c r="X48" i="19"/>
  <c r="X24" i="19" s="1"/>
  <c r="X44" i="19"/>
  <c r="Y46" i="19"/>
  <c r="Y47" i="19"/>
  <c r="Y108" i="19"/>
  <c r="Y117" i="19" s="1"/>
  <c r="W48" i="18"/>
  <c r="W24" i="18" s="1"/>
  <c r="W44" i="18"/>
  <c r="Z16" i="18"/>
  <c r="Z22" i="18" s="1"/>
  <c r="Y22" i="18"/>
  <c r="V25" i="18"/>
  <c r="V109" i="18"/>
  <c r="V118" i="18" s="1"/>
  <c r="V29" i="18"/>
  <c r="U25" i="18"/>
  <c r="U109" i="18"/>
  <c r="U118" i="18" s="1"/>
  <c r="U29" i="18"/>
  <c r="X46" i="18"/>
  <c r="X108" i="18"/>
  <c r="X117" i="18" s="1"/>
  <c r="X47" i="18"/>
  <c r="U52" i="12"/>
  <c r="U54" i="12" s="1"/>
  <c r="U47" i="12" s="1"/>
  <c r="W109" i="12"/>
  <c r="W118" i="12" s="1"/>
  <c r="H27" i="14"/>
  <c r="H29" i="14" s="1"/>
  <c r="X48" i="12"/>
  <c r="Z16" i="12"/>
  <c r="Z22" i="12" s="1"/>
  <c r="Y22" i="12"/>
  <c r="T30" i="12"/>
  <c r="T13" i="12"/>
  <c r="X109" i="12"/>
  <c r="X118" i="12" s="1"/>
  <c r="X48" i="21" l="1"/>
  <c r="X24" i="21" s="1"/>
  <c r="X44" i="21"/>
  <c r="U30" i="21"/>
  <c r="U13" i="21"/>
  <c r="Y46" i="21"/>
  <c r="Y47" i="21"/>
  <c r="Y108" i="21"/>
  <c r="Y117" i="21" s="1"/>
  <c r="V13" i="21"/>
  <c r="V30" i="21"/>
  <c r="W109" i="21"/>
  <c r="W118" i="21" s="1"/>
  <c r="W25" i="21"/>
  <c r="W29" i="21"/>
  <c r="Z46" i="21"/>
  <c r="Z47" i="21"/>
  <c r="Z108" i="21"/>
  <c r="Z117" i="21" s="1"/>
  <c r="Z48" i="19"/>
  <c r="Z24" i="19" s="1"/>
  <c r="Z44" i="19"/>
  <c r="V13" i="19"/>
  <c r="V30" i="19"/>
  <c r="Y48" i="19"/>
  <c r="Y24" i="19" s="1"/>
  <c r="Y44" i="19"/>
  <c r="X109" i="19"/>
  <c r="X118" i="19" s="1"/>
  <c r="X25" i="19"/>
  <c r="X29" i="19"/>
  <c r="U109" i="19"/>
  <c r="U118" i="19" s="1"/>
  <c r="U25" i="19"/>
  <c r="U29" i="19"/>
  <c r="W109" i="19"/>
  <c r="W118" i="19" s="1"/>
  <c r="W25" i="19"/>
  <c r="W29" i="19"/>
  <c r="X48" i="18"/>
  <c r="X24" i="18" s="1"/>
  <c r="X44" i="18"/>
  <c r="Y46" i="18"/>
  <c r="Y47" i="18"/>
  <c r="Y108" i="18"/>
  <c r="Y117" i="18" s="1"/>
  <c r="U30" i="18"/>
  <c r="U13" i="18"/>
  <c r="V30" i="18"/>
  <c r="V13" i="18"/>
  <c r="Z46" i="18"/>
  <c r="Z47" i="18"/>
  <c r="Z108" i="18"/>
  <c r="Z117" i="18" s="1"/>
  <c r="W25" i="18"/>
  <c r="W109" i="18"/>
  <c r="W118" i="18" s="1"/>
  <c r="W29" i="18"/>
  <c r="U49" i="12"/>
  <c r="U24" i="12" s="1"/>
  <c r="V54" i="12"/>
  <c r="V47" i="12" s="1"/>
  <c r="V49" i="12" s="1"/>
  <c r="V24" i="12" s="1"/>
  <c r="X54" i="12"/>
  <c r="X47" i="12" s="1"/>
  <c r="X49" i="12" s="1"/>
  <c r="X24" i="12" s="1"/>
  <c r="Z54" i="12"/>
  <c r="Z47" i="12" s="1"/>
  <c r="W54" i="12"/>
  <c r="W47" i="12" s="1"/>
  <c r="Y54" i="12"/>
  <c r="Y47" i="12" s="1"/>
  <c r="Z48" i="12"/>
  <c r="Y48" i="12"/>
  <c r="T111" i="12"/>
  <c r="T112" i="12"/>
  <c r="Y109" i="12"/>
  <c r="Y118" i="12" s="1"/>
  <c r="Z109" i="12"/>
  <c r="Z118" i="12" s="1"/>
  <c r="Z48" i="21" l="1"/>
  <c r="Z24" i="21" s="1"/>
  <c r="Z44" i="21"/>
  <c r="V110" i="21"/>
  <c r="V119" i="21" s="1"/>
  <c r="V111" i="21"/>
  <c r="V120" i="21" s="1"/>
  <c r="Y48" i="21"/>
  <c r="Y24" i="21" s="1"/>
  <c r="Y44" i="21"/>
  <c r="W13" i="21"/>
  <c r="W30" i="21"/>
  <c r="U110" i="21"/>
  <c r="U119" i="21" s="1"/>
  <c r="U111" i="21"/>
  <c r="U120" i="21" s="1"/>
  <c r="U121" i="21" s="1"/>
  <c r="U122" i="21" s="1"/>
  <c r="X109" i="21"/>
  <c r="X118" i="21" s="1"/>
  <c r="X25" i="21"/>
  <c r="X29" i="21"/>
  <c r="W30" i="19"/>
  <c r="W13" i="19"/>
  <c r="V110" i="19"/>
  <c r="V119" i="19" s="1"/>
  <c r="V111" i="19"/>
  <c r="V120" i="19" s="1"/>
  <c r="X13" i="19"/>
  <c r="X30" i="19"/>
  <c r="U30" i="19"/>
  <c r="U13" i="19"/>
  <c r="Y109" i="19"/>
  <c r="Y118" i="19" s="1"/>
  <c r="Y25" i="19"/>
  <c r="Y29" i="19"/>
  <c r="Z109" i="19"/>
  <c r="Z118" i="19" s="1"/>
  <c r="Z25" i="19"/>
  <c r="Z29" i="19"/>
  <c r="Y48" i="18"/>
  <c r="Y24" i="18" s="1"/>
  <c r="Y44" i="18"/>
  <c r="Z48" i="18"/>
  <c r="Z24" i="18" s="1"/>
  <c r="Z44" i="18"/>
  <c r="U110" i="18"/>
  <c r="U119" i="18" s="1"/>
  <c r="U111" i="18"/>
  <c r="U120" i="18" s="1"/>
  <c r="U121" i="18" s="1"/>
  <c r="U122" i="18" s="1"/>
  <c r="V110" i="18"/>
  <c r="V119" i="18" s="1"/>
  <c r="V111" i="18"/>
  <c r="V120" i="18" s="1"/>
  <c r="V121" i="18" s="1"/>
  <c r="V122" i="18" s="1"/>
  <c r="W13" i="18"/>
  <c r="W30" i="18"/>
  <c r="X25" i="18"/>
  <c r="X109" i="18"/>
  <c r="X118" i="18" s="1"/>
  <c r="X29" i="18"/>
  <c r="W45" i="12"/>
  <c r="W49" i="12"/>
  <c r="W24" i="12" s="1"/>
  <c r="V110" i="12"/>
  <c r="V119" i="12" s="1"/>
  <c r="V29" i="12"/>
  <c r="V25" i="12"/>
  <c r="X45" i="12"/>
  <c r="U25" i="12"/>
  <c r="U29" i="12"/>
  <c r="U110" i="12"/>
  <c r="U119" i="12" s="1"/>
  <c r="X25" i="12"/>
  <c r="X110" i="12"/>
  <c r="X119" i="12" s="1"/>
  <c r="X29" i="12"/>
  <c r="Y49" i="12"/>
  <c r="Y24" i="12" s="1"/>
  <c r="Y45" i="12"/>
  <c r="Z49" i="12"/>
  <c r="Z24" i="12" s="1"/>
  <c r="Z45" i="12"/>
  <c r="W110" i="21" l="1"/>
  <c r="W119" i="21" s="1"/>
  <c r="W111" i="21"/>
  <c r="W120" i="21" s="1"/>
  <c r="W121" i="21" s="1"/>
  <c r="W122" i="21" s="1"/>
  <c r="V121" i="21"/>
  <c r="V122" i="21" s="1"/>
  <c r="X13" i="21"/>
  <c r="X30" i="21"/>
  <c r="Y109" i="21"/>
  <c r="Y118" i="21" s="1"/>
  <c r="Y25" i="21"/>
  <c r="Y29" i="21"/>
  <c r="Z109" i="21"/>
  <c r="Z118" i="21" s="1"/>
  <c r="Z25" i="21"/>
  <c r="Z29" i="21"/>
  <c r="Z13" i="19"/>
  <c r="Z30" i="19"/>
  <c r="X110" i="19"/>
  <c r="X119" i="19" s="1"/>
  <c r="X111" i="19"/>
  <c r="X120" i="19" s="1"/>
  <c r="Y13" i="19"/>
  <c r="Y30" i="19"/>
  <c r="U110" i="19"/>
  <c r="U119" i="19" s="1"/>
  <c r="U111" i="19"/>
  <c r="U120" i="19" s="1"/>
  <c r="U121" i="19" s="1"/>
  <c r="U122" i="19" s="1"/>
  <c r="W110" i="19"/>
  <c r="W119" i="19" s="1"/>
  <c r="W111" i="19"/>
  <c r="W120" i="19" s="1"/>
  <c r="W121" i="19" s="1"/>
  <c r="W122" i="19" s="1"/>
  <c r="V121" i="19"/>
  <c r="V122" i="19" s="1"/>
  <c r="X13" i="18"/>
  <c r="X30" i="18"/>
  <c r="W110" i="18"/>
  <c r="W119" i="18" s="1"/>
  <c r="W111" i="18"/>
  <c r="W120" i="18" s="1"/>
  <c r="W121" i="18" s="1"/>
  <c r="W122" i="18" s="1"/>
  <c r="Z25" i="18"/>
  <c r="Z109" i="18"/>
  <c r="Z118" i="18" s="1"/>
  <c r="Z29" i="18"/>
  <c r="Y25" i="18"/>
  <c r="Y109" i="18"/>
  <c r="Y118" i="18" s="1"/>
  <c r="Y29" i="18"/>
  <c r="U30" i="12"/>
  <c r="U13" i="12"/>
  <c r="V30" i="12"/>
  <c r="V13" i="12"/>
  <c r="W29" i="12"/>
  <c r="W25" i="12"/>
  <c r="W110" i="12"/>
  <c r="W119" i="12" s="1"/>
  <c r="Y110" i="12"/>
  <c r="Y119" i="12" s="1"/>
  <c r="Y25" i="12"/>
  <c r="Y29" i="12"/>
  <c r="X13" i="12"/>
  <c r="X30" i="12"/>
  <c r="Z110" i="12"/>
  <c r="Z119" i="12" s="1"/>
  <c r="Z25" i="12"/>
  <c r="Z29" i="12"/>
  <c r="Y13" i="21" l="1"/>
  <c r="Y30" i="21"/>
  <c r="Z13" i="21"/>
  <c r="Z30" i="21"/>
  <c r="X110" i="21"/>
  <c r="X119" i="21" s="1"/>
  <c r="X111" i="21"/>
  <c r="X120" i="21" s="1"/>
  <c r="X121" i="21" s="1"/>
  <c r="X122" i="21" s="1"/>
  <c r="Y110" i="19"/>
  <c r="Y119" i="19" s="1"/>
  <c r="Y111" i="19"/>
  <c r="Y120" i="19" s="1"/>
  <c r="Y121" i="19" s="1"/>
  <c r="Y122" i="19" s="1"/>
  <c r="X121" i="19"/>
  <c r="X122" i="19" s="1"/>
  <c r="Z111" i="19"/>
  <c r="Z120" i="19" s="1"/>
  <c r="Z121" i="19" s="1"/>
  <c r="Z122" i="19" s="1"/>
  <c r="Z110" i="19"/>
  <c r="Z119" i="19" s="1"/>
  <c r="Y13" i="18"/>
  <c r="Y30" i="18"/>
  <c r="Z30" i="18"/>
  <c r="Z13" i="18"/>
  <c r="X110" i="18"/>
  <c r="X119" i="18" s="1"/>
  <c r="X111" i="18"/>
  <c r="X120" i="18" s="1"/>
  <c r="X121" i="18" s="1"/>
  <c r="X122" i="18" s="1"/>
  <c r="W13" i="12"/>
  <c r="W30" i="12"/>
  <c r="V111" i="12"/>
  <c r="V120" i="12" s="1"/>
  <c r="V112" i="12"/>
  <c r="V121" i="12" s="1"/>
  <c r="U112" i="12"/>
  <c r="U121" i="12" s="1"/>
  <c r="U122" i="12" s="1"/>
  <c r="U123" i="12" s="1"/>
  <c r="U111" i="12"/>
  <c r="U120" i="12" s="1"/>
  <c r="G25" i="12"/>
  <c r="G26" i="12"/>
  <c r="G27" i="12"/>
  <c r="X111" i="12"/>
  <c r="X120" i="12" s="1"/>
  <c r="X112" i="12"/>
  <c r="X121" i="12" s="1"/>
  <c r="Z13" i="12"/>
  <c r="Z30" i="12"/>
  <c r="Y13" i="12"/>
  <c r="Y30" i="12"/>
  <c r="Z111" i="21" l="1"/>
  <c r="Z120" i="21" s="1"/>
  <c r="Z110" i="21"/>
  <c r="Z119" i="21" s="1"/>
  <c r="Y110" i="21"/>
  <c r="Y119" i="21" s="1"/>
  <c r="Y111" i="21"/>
  <c r="Y120" i="21" s="1"/>
  <c r="Y121" i="21" s="1"/>
  <c r="Y122" i="21" s="1"/>
  <c r="Z110" i="18"/>
  <c r="Z119" i="18" s="1"/>
  <c r="Z111" i="18"/>
  <c r="Z120" i="18" s="1"/>
  <c r="Y111" i="18"/>
  <c r="Y120" i="18" s="1"/>
  <c r="Y121" i="18" s="1"/>
  <c r="Y122" i="18" s="1"/>
  <c r="Y110" i="18"/>
  <c r="Y119" i="18" s="1"/>
  <c r="V122" i="12"/>
  <c r="V123" i="12" s="1"/>
  <c r="F25" i="12"/>
  <c r="F26" i="12"/>
  <c r="F27" i="12"/>
  <c r="W111" i="12"/>
  <c r="W120" i="12" s="1"/>
  <c r="W112" i="12"/>
  <c r="W121" i="12" s="1"/>
  <c r="W122" i="12" s="1"/>
  <c r="W123" i="12" s="1"/>
  <c r="I25" i="12"/>
  <c r="I26" i="12"/>
  <c r="I27" i="12"/>
  <c r="H25" i="12"/>
  <c r="H26" i="12"/>
  <c r="H27" i="12"/>
  <c r="Y111" i="12"/>
  <c r="Y120" i="12" s="1"/>
  <c r="Y112" i="12"/>
  <c r="Y121" i="12" s="1"/>
  <c r="Y122" i="12" s="1"/>
  <c r="Y123" i="12" s="1"/>
  <c r="Z112" i="12"/>
  <c r="Z121" i="12" s="1"/>
  <c r="Z111" i="12"/>
  <c r="Z120" i="12" s="1"/>
  <c r="Z121" i="21" l="1"/>
  <c r="Z122" i="21" s="1"/>
  <c r="Z121" i="18"/>
  <c r="Z122" i="18" s="1"/>
  <c r="X122" i="12"/>
  <c r="X123" i="12" s="1"/>
  <c r="Z122" i="12"/>
  <c r="Z123" i="12" s="1"/>
  <c r="I11" i="13" l="1"/>
  <c r="I17" i="13" s="1"/>
  <c r="H11" i="13"/>
  <c r="H17" i="13" s="1"/>
  <c r="G11" i="13"/>
  <c r="G17" i="13" s="1"/>
  <c r="F11" i="13"/>
  <c r="F17" i="13" s="1"/>
  <c r="E11" i="13"/>
  <c r="E17" i="13" s="1"/>
  <c r="E19" i="13" s="1"/>
  <c r="D11" i="13"/>
  <c r="D17" i="13" s="1"/>
  <c r="D19" i="13" s="1"/>
  <c r="C11" i="13"/>
  <c r="C17" i="13" s="1"/>
  <c r="I17" i="11"/>
  <c r="I19" i="11" s="1"/>
  <c r="I11" i="11"/>
  <c r="H11" i="11"/>
  <c r="H17" i="11" s="1"/>
  <c r="H23" i="11" s="1"/>
  <c r="G11" i="11"/>
  <c r="G17" i="11" s="1"/>
  <c r="G23" i="11" s="1"/>
  <c r="F11" i="11"/>
  <c r="F17" i="11" s="1"/>
  <c r="F23" i="11" s="1"/>
  <c r="E11" i="11"/>
  <c r="E17" i="11" s="1"/>
  <c r="E19" i="11" s="1"/>
  <c r="D11" i="11"/>
  <c r="D17" i="11" s="1"/>
  <c r="C11" i="11"/>
  <c r="C17" i="11" s="1"/>
  <c r="D11" i="10"/>
  <c r="D17" i="10" s="1"/>
  <c r="D19" i="10" s="1"/>
  <c r="E11" i="10"/>
  <c r="E17" i="10" s="1"/>
  <c r="E19" i="10" s="1"/>
  <c r="F11" i="10"/>
  <c r="F17" i="10" s="1"/>
  <c r="F23" i="10" s="1"/>
  <c r="G11" i="10"/>
  <c r="G17" i="10" s="1"/>
  <c r="G23" i="10" s="1"/>
  <c r="H11" i="10"/>
  <c r="H17" i="10" s="1"/>
  <c r="H23" i="10" s="1"/>
  <c r="I11" i="10"/>
  <c r="I17" i="10" s="1"/>
  <c r="I23" i="10" s="1"/>
  <c r="C11" i="10"/>
  <c r="C17" i="10"/>
  <c r="C21" i="10" s="1"/>
  <c r="C25" i="10" s="1"/>
  <c r="E69" i="7"/>
  <c r="F69" i="7"/>
  <c r="G69" i="7"/>
  <c r="H69" i="7"/>
  <c r="I69" i="7"/>
  <c r="I82" i="7" s="1"/>
  <c r="D69" i="7"/>
  <c r="D68" i="7"/>
  <c r="E68" i="7"/>
  <c r="F68" i="7"/>
  <c r="G68" i="7"/>
  <c r="H68" i="7"/>
  <c r="I68" i="7"/>
  <c r="E67" i="7"/>
  <c r="F67" i="7"/>
  <c r="G67" i="7"/>
  <c r="H67" i="7"/>
  <c r="I67" i="7"/>
  <c r="D67" i="7"/>
  <c r="D132" i="7"/>
  <c r="C132" i="7"/>
  <c r="I130" i="7"/>
  <c r="H130" i="7"/>
  <c r="G130" i="7"/>
  <c r="F130" i="7"/>
  <c r="E130" i="7"/>
  <c r="C125" i="7"/>
  <c r="C124" i="7"/>
  <c r="C123" i="7"/>
  <c r="C126" i="7" s="1"/>
  <c r="C108" i="7"/>
  <c r="C102" i="7"/>
  <c r="I101" i="7"/>
  <c r="I102" i="7" s="1"/>
  <c r="I107" i="7" s="1"/>
  <c r="H101" i="7"/>
  <c r="H102" i="7" s="1"/>
  <c r="H107" i="7" s="1"/>
  <c r="G101" i="7"/>
  <c r="G102" i="7" s="1"/>
  <c r="G107" i="7" s="1"/>
  <c r="F101" i="7"/>
  <c r="F102" i="7" s="1"/>
  <c r="F107" i="7" s="1"/>
  <c r="E101" i="7"/>
  <c r="E102" i="7" s="1"/>
  <c r="D101" i="7"/>
  <c r="D102" i="7" s="1"/>
  <c r="C98" i="7"/>
  <c r="I97" i="7"/>
  <c r="I98" i="7" s="1"/>
  <c r="I106" i="7" s="1"/>
  <c r="H97" i="7"/>
  <c r="H98" i="7" s="1"/>
  <c r="H106" i="7" s="1"/>
  <c r="G97" i="7"/>
  <c r="G98" i="7" s="1"/>
  <c r="G106" i="7" s="1"/>
  <c r="F97" i="7"/>
  <c r="F98" i="7" s="1"/>
  <c r="F106" i="7" s="1"/>
  <c r="E97" i="7"/>
  <c r="E98" i="7" s="1"/>
  <c r="E106" i="7" s="1"/>
  <c r="D97" i="7"/>
  <c r="D98" i="7" s="1"/>
  <c r="D106" i="7" s="1"/>
  <c r="C83" i="7"/>
  <c r="C76" i="7"/>
  <c r="I75" i="7"/>
  <c r="H75" i="7"/>
  <c r="G75" i="7"/>
  <c r="F75" i="7"/>
  <c r="E75" i="7"/>
  <c r="D75" i="7"/>
  <c r="I74" i="7"/>
  <c r="H74" i="7"/>
  <c r="G74" i="7"/>
  <c r="F74" i="7"/>
  <c r="E74" i="7"/>
  <c r="D74" i="7"/>
  <c r="I73" i="7"/>
  <c r="H73" i="7"/>
  <c r="G73" i="7"/>
  <c r="F73" i="7"/>
  <c r="E73" i="7"/>
  <c r="D73" i="7"/>
  <c r="C70" i="7"/>
  <c r="H82" i="7"/>
  <c r="I81" i="7"/>
  <c r="H81" i="7"/>
  <c r="C51" i="7"/>
  <c r="I50" i="7"/>
  <c r="H50" i="7"/>
  <c r="G50" i="7"/>
  <c r="F50" i="7"/>
  <c r="I44" i="7"/>
  <c r="H44" i="7"/>
  <c r="C44" i="7"/>
  <c r="I43" i="7"/>
  <c r="H43" i="7"/>
  <c r="G43" i="7"/>
  <c r="G44" i="7" s="1"/>
  <c r="F43" i="7"/>
  <c r="F44" i="7" s="1"/>
  <c r="E43" i="7"/>
  <c r="E50" i="7" s="1"/>
  <c r="D43" i="7"/>
  <c r="D50" i="7" s="1"/>
  <c r="C40" i="7"/>
  <c r="I39" i="7"/>
  <c r="I49" i="7" s="1"/>
  <c r="H39" i="7"/>
  <c r="H49" i="7" s="1"/>
  <c r="G39" i="7"/>
  <c r="G49" i="7" s="1"/>
  <c r="F39" i="7"/>
  <c r="F49" i="7" s="1"/>
  <c r="E39" i="7"/>
  <c r="E49" i="7" s="1"/>
  <c r="D39" i="7"/>
  <c r="D49" i="7" s="1"/>
  <c r="I38" i="7"/>
  <c r="I48" i="7" s="1"/>
  <c r="H38" i="7"/>
  <c r="H48" i="7" s="1"/>
  <c r="G38" i="7"/>
  <c r="G48" i="7" s="1"/>
  <c r="F38" i="7"/>
  <c r="F48" i="7" s="1"/>
  <c r="E38" i="7"/>
  <c r="E48" i="7" s="1"/>
  <c r="D38" i="7"/>
  <c r="C21" i="7"/>
  <c r="D20" i="7"/>
  <c r="D12" i="7" s="1"/>
  <c r="C12" i="7"/>
  <c r="C13" i="7" s="1"/>
  <c r="I124" i="4"/>
  <c r="H124" i="4"/>
  <c r="G124" i="4"/>
  <c r="F124" i="4"/>
  <c r="E124" i="4"/>
  <c r="D124" i="4"/>
  <c r="C124" i="4"/>
  <c r="I123" i="4"/>
  <c r="H123" i="4"/>
  <c r="G123" i="4"/>
  <c r="F123" i="4"/>
  <c r="E123" i="4"/>
  <c r="C123" i="4"/>
  <c r="I122" i="4"/>
  <c r="I125" i="4" s="1"/>
  <c r="H122" i="4"/>
  <c r="H125" i="4" s="1"/>
  <c r="G122" i="4"/>
  <c r="G125" i="4" s="1"/>
  <c r="F122" i="4"/>
  <c r="F125" i="4" s="1"/>
  <c r="E122" i="4"/>
  <c r="E125" i="4" s="1"/>
  <c r="C122" i="4"/>
  <c r="C125" i="4" s="1"/>
  <c r="C123" i="5"/>
  <c r="D123" i="5"/>
  <c r="E123" i="5"/>
  <c r="F123" i="5"/>
  <c r="G123" i="5"/>
  <c r="H123" i="5"/>
  <c r="I123" i="5"/>
  <c r="C124" i="5"/>
  <c r="C125" i="5" s="1"/>
  <c r="D124" i="5"/>
  <c r="E124" i="5"/>
  <c r="F124" i="5"/>
  <c r="F125" i="5" s="1"/>
  <c r="F130" i="5" s="1"/>
  <c r="F131" i="5" s="1"/>
  <c r="F20" i="5" s="1"/>
  <c r="F12" i="5" s="1"/>
  <c r="G124" i="5"/>
  <c r="G125" i="5" s="1"/>
  <c r="G130" i="5" s="1"/>
  <c r="H124" i="5"/>
  <c r="H125" i="5" s="1"/>
  <c r="H130" i="5" s="1"/>
  <c r="H131" i="5" s="1"/>
  <c r="H20" i="5" s="1"/>
  <c r="H12" i="5" s="1"/>
  <c r="I124" i="5"/>
  <c r="D122" i="5"/>
  <c r="E122" i="5"/>
  <c r="F122" i="5"/>
  <c r="G122" i="5"/>
  <c r="H122" i="5"/>
  <c r="I122" i="5"/>
  <c r="C122" i="5"/>
  <c r="F129" i="5"/>
  <c r="G129" i="5"/>
  <c r="H129" i="5"/>
  <c r="I129" i="5"/>
  <c r="E129" i="5"/>
  <c r="D131" i="5"/>
  <c r="C131" i="5"/>
  <c r="D125" i="5"/>
  <c r="C107" i="5"/>
  <c r="C101" i="5"/>
  <c r="I100" i="5"/>
  <c r="I101" i="5" s="1"/>
  <c r="I106" i="5" s="1"/>
  <c r="H100" i="5"/>
  <c r="H101" i="5" s="1"/>
  <c r="H106" i="5" s="1"/>
  <c r="G100" i="5"/>
  <c r="G101" i="5" s="1"/>
  <c r="G106" i="5" s="1"/>
  <c r="F100" i="5"/>
  <c r="F101" i="5" s="1"/>
  <c r="F106" i="5" s="1"/>
  <c r="E100" i="5"/>
  <c r="E101" i="5" s="1"/>
  <c r="E106" i="5" s="1"/>
  <c r="D100" i="5"/>
  <c r="D101" i="5" s="1"/>
  <c r="D106" i="5" s="1"/>
  <c r="C97" i="5"/>
  <c r="I96" i="5"/>
  <c r="I97" i="5" s="1"/>
  <c r="I105" i="5" s="1"/>
  <c r="H96" i="5"/>
  <c r="H97" i="5" s="1"/>
  <c r="H105" i="5" s="1"/>
  <c r="G96" i="5"/>
  <c r="G97" i="5" s="1"/>
  <c r="G105" i="5" s="1"/>
  <c r="F96" i="5"/>
  <c r="F97" i="5" s="1"/>
  <c r="F105" i="5" s="1"/>
  <c r="E96" i="5"/>
  <c r="E97" i="5" s="1"/>
  <c r="E105" i="5" s="1"/>
  <c r="D96" i="5"/>
  <c r="D97" i="5" s="1"/>
  <c r="D105" i="5" s="1"/>
  <c r="D107" i="5" s="1"/>
  <c r="D19" i="5" s="1"/>
  <c r="D11" i="5" s="1"/>
  <c r="C82" i="5"/>
  <c r="G81" i="5"/>
  <c r="F81" i="5"/>
  <c r="C75" i="5"/>
  <c r="I74" i="5"/>
  <c r="H74" i="5"/>
  <c r="G74" i="5"/>
  <c r="F74" i="5"/>
  <c r="E74" i="5"/>
  <c r="D74" i="5"/>
  <c r="I73" i="5"/>
  <c r="H73" i="5"/>
  <c r="G73" i="5"/>
  <c r="F73" i="5"/>
  <c r="E73" i="5"/>
  <c r="D73" i="5"/>
  <c r="I72" i="5"/>
  <c r="I75" i="5" s="1"/>
  <c r="H72" i="5"/>
  <c r="H75" i="5" s="1"/>
  <c r="G72" i="5"/>
  <c r="F72" i="5"/>
  <c r="E72" i="5"/>
  <c r="D72" i="5"/>
  <c r="C69" i="5"/>
  <c r="I68" i="5"/>
  <c r="H68" i="5"/>
  <c r="G68" i="5"/>
  <c r="F68" i="5"/>
  <c r="E68" i="5"/>
  <c r="E81" i="5" s="1"/>
  <c r="D68" i="5"/>
  <c r="D81" i="5" s="1"/>
  <c r="I67" i="5"/>
  <c r="H67" i="5"/>
  <c r="H80" i="5" s="1"/>
  <c r="G67" i="5"/>
  <c r="G80" i="5" s="1"/>
  <c r="F67" i="5"/>
  <c r="F80" i="5" s="1"/>
  <c r="E67" i="5"/>
  <c r="D67" i="5"/>
  <c r="I66" i="5"/>
  <c r="H66" i="5"/>
  <c r="G66" i="5"/>
  <c r="F66" i="5"/>
  <c r="E66" i="5"/>
  <c r="D66" i="5"/>
  <c r="C51" i="5"/>
  <c r="I50" i="5"/>
  <c r="H50" i="5"/>
  <c r="G50" i="5"/>
  <c r="E50" i="5"/>
  <c r="D50" i="5"/>
  <c r="I44" i="5"/>
  <c r="H44" i="5"/>
  <c r="C44" i="5"/>
  <c r="I43" i="5"/>
  <c r="H43" i="5"/>
  <c r="G43" i="5"/>
  <c r="G44" i="5" s="1"/>
  <c r="F43" i="5"/>
  <c r="F50" i="5" s="1"/>
  <c r="E43" i="5"/>
  <c r="E44" i="5" s="1"/>
  <c r="D43" i="5"/>
  <c r="D44" i="5" s="1"/>
  <c r="C40" i="5"/>
  <c r="I39" i="5"/>
  <c r="I49" i="5" s="1"/>
  <c r="H39" i="5"/>
  <c r="H49" i="5" s="1"/>
  <c r="G39" i="5"/>
  <c r="G49" i="5" s="1"/>
  <c r="F39" i="5"/>
  <c r="F49" i="5" s="1"/>
  <c r="E39" i="5"/>
  <c r="E49" i="5" s="1"/>
  <c r="D39" i="5"/>
  <c r="D49" i="5" s="1"/>
  <c r="I38" i="5"/>
  <c r="I48" i="5" s="1"/>
  <c r="H38" i="5"/>
  <c r="H48" i="5" s="1"/>
  <c r="G38" i="5"/>
  <c r="G48" i="5" s="1"/>
  <c r="F38" i="5"/>
  <c r="F48" i="5" s="1"/>
  <c r="E38" i="5"/>
  <c r="E48" i="5" s="1"/>
  <c r="D38" i="5"/>
  <c r="D48" i="5" s="1"/>
  <c r="C21" i="5"/>
  <c r="D20" i="5"/>
  <c r="D12" i="5" s="1"/>
  <c r="C13" i="5"/>
  <c r="C12" i="5"/>
  <c r="C12" i="4"/>
  <c r="C13" i="4" s="1"/>
  <c r="F129" i="4"/>
  <c r="G129" i="4"/>
  <c r="H129" i="4"/>
  <c r="I129" i="4"/>
  <c r="E129" i="4"/>
  <c r="E100" i="4"/>
  <c r="F100" i="4"/>
  <c r="G100" i="4"/>
  <c r="H100" i="4"/>
  <c r="I100" i="4"/>
  <c r="D100" i="4"/>
  <c r="E96" i="4"/>
  <c r="F96" i="4"/>
  <c r="G96" i="4"/>
  <c r="H96" i="4"/>
  <c r="I96" i="4"/>
  <c r="D96" i="4"/>
  <c r="C131" i="4"/>
  <c r="C21" i="4"/>
  <c r="G19" i="11" l="1"/>
  <c r="F19" i="11"/>
  <c r="H19" i="11"/>
  <c r="H19" i="10"/>
  <c r="I19" i="10"/>
  <c r="F19" i="10"/>
  <c r="G19" i="10"/>
  <c r="I19" i="13"/>
  <c r="I21" i="13" s="1"/>
  <c r="F19" i="13"/>
  <c r="F21" i="13" s="1"/>
  <c r="G19" i="13"/>
  <c r="G21" i="13" s="1"/>
  <c r="H19" i="13"/>
  <c r="H21" i="13" s="1"/>
  <c r="E21" i="11"/>
  <c r="D23" i="11"/>
  <c r="I23" i="11"/>
  <c r="E23" i="11"/>
  <c r="D19" i="11"/>
  <c r="D21" i="11" s="1"/>
  <c r="D25" i="11" s="1"/>
  <c r="D23" i="10"/>
  <c r="E23" i="10"/>
  <c r="C20" i="10"/>
  <c r="C21" i="13"/>
  <c r="C25" i="13" s="1"/>
  <c r="C20" i="13"/>
  <c r="C24" i="13"/>
  <c r="D23" i="13"/>
  <c r="E23" i="13"/>
  <c r="D21" i="13"/>
  <c r="D25" i="13" s="1"/>
  <c r="F23" i="13"/>
  <c r="E21" i="13"/>
  <c r="E25" i="13" s="1"/>
  <c r="G23" i="13"/>
  <c r="H23" i="13"/>
  <c r="I23" i="13"/>
  <c r="E25" i="11"/>
  <c r="E27" i="11" s="1"/>
  <c r="D21" i="10"/>
  <c r="G21" i="10"/>
  <c r="G25" i="10" s="1"/>
  <c r="G27" i="10" s="1"/>
  <c r="F21" i="10"/>
  <c r="F25" i="10" s="1"/>
  <c r="F27" i="10" s="1"/>
  <c r="E21" i="10"/>
  <c r="I21" i="10"/>
  <c r="I25" i="10" s="1"/>
  <c r="I27" i="10" s="1"/>
  <c r="C28" i="10"/>
  <c r="C29" i="10"/>
  <c r="H21" i="10"/>
  <c r="H25" i="10" s="1"/>
  <c r="H27" i="10" s="1"/>
  <c r="C24" i="10"/>
  <c r="F21" i="11"/>
  <c r="F25" i="11" s="1"/>
  <c r="G21" i="11"/>
  <c r="G25" i="11" s="1"/>
  <c r="H21" i="11"/>
  <c r="H25" i="11" s="1"/>
  <c r="I21" i="11"/>
  <c r="C21" i="11"/>
  <c r="C25" i="11" s="1"/>
  <c r="C24" i="11"/>
  <c r="C20" i="11"/>
  <c r="D82" i="7"/>
  <c r="G70" i="7"/>
  <c r="F76" i="7"/>
  <c r="G76" i="7"/>
  <c r="H76" i="7"/>
  <c r="F81" i="7"/>
  <c r="I76" i="7"/>
  <c r="G81" i="7"/>
  <c r="E82" i="7"/>
  <c r="F82" i="7"/>
  <c r="H70" i="7"/>
  <c r="G82" i="7"/>
  <c r="H80" i="7"/>
  <c r="D70" i="7"/>
  <c r="E70" i="7"/>
  <c r="F80" i="7"/>
  <c r="F83" i="7" s="1"/>
  <c r="F18" i="7" s="1"/>
  <c r="F10" i="7" s="1"/>
  <c r="F124" i="7" s="1"/>
  <c r="F70" i="7"/>
  <c r="I70" i="7"/>
  <c r="D81" i="7"/>
  <c r="D76" i="7"/>
  <c r="D107" i="7"/>
  <c r="D108" i="7" s="1"/>
  <c r="D19" i="7" s="1"/>
  <c r="D11" i="7" s="1"/>
  <c r="D125" i="7" s="1"/>
  <c r="G80" i="7"/>
  <c r="E81" i="7"/>
  <c r="E76" i="7"/>
  <c r="E107" i="7"/>
  <c r="E108" i="7" s="1"/>
  <c r="E19" i="7" s="1"/>
  <c r="E11" i="7" s="1"/>
  <c r="E125" i="7" s="1"/>
  <c r="E40" i="7"/>
  <c r="F40" i="7"/>
  <c r="I40" i="7"/>
  <c r="D40" i="7"/>
  <c r="G40" i="7"/>
  <c r="H83" i="7"/>
  <c r="H18" i="7" s="1"/>
  <c r="H10" i="7" s="1"/>
  <c r="H124" i="7" s="1"/>
  <c r="E51" i="7"/>
  <c r="E17" i="7" s="1"/>
  <c r="F51" i="7"/>
  <c r="F17" i="7" s="1"/>
  <c r="G108" i="7"/>
  <c r="G19" i="7" s="1"/>
  <c r="G11" i="7" s="1"/>
  <c r="G125" i="7" s="1"/>
  <c r="H108" i="7"/>
  <c r="H19" i="7" s="1"/>
  <c r="H11" i="7" s="1"/>
  <c r="H125" i="7" s="1"/>
  <c r="H51" i="7"/>
  <c r="H17" i="7" s="1"/>
  <c r="I108" i="7"/>
  <c r="I19" i="7" s="1"/>
  <c r="I11" i="7" s="1"/>
  <c r="I125" i="7" s="1"/>
  <c r="G51" i="7"/>
  <c r="G17" i="7" s="1"/>
  <c r="I51" i="7"/>
  <c r="I17" i="7" s="1"/>
  <c r="F108" i="7"/>
  <c r="F19" i="7" s="1"/>
  <c r="F11" i="7" s="1"/>
  <c r="F125" i="7" s="1"/>
  <c r="D48" i="7"/>
  <c r="D51" i="7" s="1"/>
  <c r="D17" i="7" s="1"/>
  <c r="I80" i="7"/>
  <c r="I83" i="7" s="1"/>
  <c r="I18" i="7" s="1"/>
  <c r="I10" i="7" s="1"/>
  <c r="I124" i="7" s="1"/>
  <c r="H40" i="7"/>
  <c r="D44" i="7"/>
  <c r="E44" i="7"/>
  <c r="D80" i="7"/>
  <c r="E80" i="7"/>
  <c r="I125" i="5"/>
  <c r="I130" i="5" s="1"/>
  <c r="I131" i="5" s="1"/>
  <c r="I20" i="5" s="1"/>
  <c r="I12" i="5" s="1"/>
  <c r="E125" i="5"/>
  <c r="E130" i="5" s="1"/>
  <c r="G131" i="5"/>
  <c r="G20" i="5" s="1"/>
  <c r="G12" i="5" s="1"/>
  <c r="E131" i="5"/>
  <c r="E20" i="5" s="1"/>
  <c r="E12" i="5" s="1"/>
  <c r="I107" i="5"/>
  <c r="I19" i="5" s="1"/>
  <c r="I11" i="5" s="1"/>
  <c r="I80" i="5"/>
  <c r="D69" i="5"/>
  <c r="H81" i="5"/>
  <c r="E69" i="5"/>
  <c r="G69" i="5"/>
  <c r="H69" i="5"/>
  <c r="I69" i="5"/>
  <c r="F75" i="5"/>
  <c r="F69" i="5"/>
  <c r="E75" i="5"/>
  <c r="D80" i="5"/>
  <c r="G75" i="5"/>
  <c r="I81" i="5"/>
  <c r="D75" i="5"/>
  <c r="E80" i="5"/>
  <c r="E40" i="5"/>
  <c r="D40" i="5"/>
  <c r="E51" i="5"/>
  <c r="E17" i="5" s="1"/>
  <c r="G51" i="5"/>
  <c r="G17" i="5" s="1"/>
  <c r="F44" i="5"/>
  <c r="D51" i="5"/>
  <c r="D17" i="5" s="1"/>
  <c r="E9" i="5"/>
  <c r="F51" i="5"/>
  <c r="F17" i="5" s="1"/>
  <c r="D9" i="5"/>
  <c r="G9" i="5"/>
  <c r="I51" i="5"/>
  <c r="I17" i="5" s="1"/>
  <c r="G107" i="5"/>
  <c r="G19" i="5" s="1"/>
  <c r="G11" i="5" s="1"/>
  <c r="E107" i="5"/>
  <c r="E19" i="5" s="1"/>
  <c r="E11" i="5" s="1"/>
  <c r="H107" i="5"/>
  <c r="H19" i="5" s="1"/>
  <c r="H11" i="5" s="1"/>
  <c r="H51" i="5"/>
  <c r="H17" i="5" s="1"/>
  <c r="F107" i="5"/>
  <c r="F19" i="5" s="1"/>
  <c r="F11" i="5" s="1"/>
  <c r="D79" i="5"/>
  <c r="D82" i="5" s="1"/>
  <c r="D18" i="5" s="1"/>
  <c r="D10" i="5" s="1"/>
  <c r="E79" i="5"/>
  <c r="F79" i="5"/>
  <c r="F82" i="5" s="1"/>
  <c r="F18" i="5" s="1"/>
  <c r="F10" i="5" s="1"/>
  <c r="G79" i="5"/>
  <c r="G82" i="5" s="1"/>
  <c r="G18" i="5" s="1"/>
  <c r="G10" i="5" s="1"/>
  <c r="F40" i="5"/>
  <c r="H79" i="5"/>
  <c r="H82" i="5" s="1"/>
  <c r="H18" i="5" s="1"/>
  <c r="H10" i="5" s="1"/>
  <c r="G40" i="5"/>
  <c r="I79" i="5"/>
  <c r="H40" i="5"/>
  <c r="I40" i="5"/>
  <c r="E130" i="4"/>
  <c r="H130" i="4"/>
  <c r="I130" i="4"/>
  <c r="G130" i="4"/>
  <c r="F130" i="4"/>
  <c r="I25" i="11" l="1"/>
  <c r="F25" i="13"/>
  <c r="D25" i="10"/>
  <c r="D27" i="10" s="1"/>
  <c r="E25" i="10"/>
  <c r="E27" i="10" s="1"/>
  <c r="H25" i="13"/>
  <c r="H27" i="13" s="1"/>
  <c r="H29" i="13" s="1"/>
  <c r="G25" i="13"/>
  <c r="G27" i="13" s="1"/>
  <c r="G29" i="13" s="1"/>
  <c r="I25" i="13"/>
  <c r="D27" i="11"/>
  <c r="D29" i="11"/>
  <c r="F29" i="11"/>
  <c r="F27" i="11"/>
  <c r="E29" i="11"/>
  <c r="I27" i="11"/>
  <c r="I29" i="11" s="1"/>
  <c r="H27" i="11"/>
  <c r="H29" i="11" s="1"/>
  <c r="G27" i="11"/>
  <c r="G29" i="11" s="1"/>
  <c r="C9" i="12"/>
  <c r="C11" i="12"/>
  <c r="C10" i="12"/>
  <c r="F27" i="13"/>
  <c r="F29" i="13" s="1"/>
  <c r="E27" i="13"/>
  <c r="E29" i="13" s="1"/>
  <c r="D27" i="13"/>
  <c r="D29" i="13" s="1"/>
  <c r="I27" i="13"/>
  <c r="I29" i="13" s="1"/>
  <c r="C29" i="13"/>
  <c r="C28" i="13"/>
  <c r="F29" i="10"/>
  <c r="F10" i="12" s="1"/>
  <c r="I29" i="10"/>
  <c r="E29" i="10"/>
  <c r="G29" i="10"/>
  <c r="H29" i="10"/>
  <c r="D29" i="10"/>
  <c r="C29" i="11"/>
  <c r="C28" i="11"/>
  <c r="G83" i="7"/>
  <c r="G18" i="7" s="1"/>
  <c r="G10" i="7" s="1"/>
  <c r="G124" i="7" s="1"/>
  <c r="E83" i="7"/>
  <c r="E18" i="7" s="1"/>
  <c r="E10" i="7" s="1"/>
  <c r="E124" i="7" s="1"/>
  <c r="D83" i="7"/>
  <c r="D18" i="7" s="1"/>
  <c r="D10" i="7" s="1"/>
  <c r="D124" i="7" s="1"/>
  <c r="I9" i="7"/>
  <c r="H9" i="7"/>
  <c r="G9" i="7"/>
  <c r="F9" i="7"/>
  <c r="E9" i="7"/>
  <c r="D9" i="7"/>
  <c r="I82" i="5"/>
  <c r="I18" i="5" s="1"/>
  <c r="I10" i="5" s="1"/>
  <c r="E82" i="5"/>
  <c r="E18" i="5" s="1"/>
  <c r="E10" i="5" s="1"/>
  <c r="H9" i="5"/>
  <c r="H13" i="5" s="1"/>
  <c r="H21" i="5"/>
  <c r="G13" i="5"/>
  <c r="D13" i="5"/>
  <c r="G21" i="5"/>
  <c r="D21" i="5"/>
  <c r="F9" i="5"/>
  <c r="F13" i="5" s="1"/>
  <c r="F21" i="5"/>
  <c r="E21" i="5"/>
  <c r="I9" i="5"/>
  <c r="I13" i="5" s="1"/>
  <c r="I21" i="5"/>
  <c r="E13" i="5"/>
  <c r="G22" i="12" l="1"/>
  <c r="G21" i="12"/>
  <c r="G20" i="12"/>
  <c r="H20" i="12"/>
  <c r="H22" i="12"/>
  <c r="H21" i="12"/>
  <c r="I21" i="12"/>
  <c r="I22" i="12"/>
  <c r="I20" i="12"/>
  <c r="C22" i="12"/>
  <c r="C21" i="12"/>
  <c r="C20" i="12"/>
  <c r="D21" i="12"/>
  <c r="D22" i="12"/>
  <c r="D20" i="12"/>
  <c r="E21" i="12"/>
  <c r="E20" i="12"/>
  <c r="E22" i="12"/>
  <c r="F20" i="12"/>
  <c r="F21" i="12"/>
  <c r="F22" i="12"/>
  <c r="I15" i="12"/>
  <c r="I14" i="12"/>
  <c r="I16" i="12"/>
  <c r="G15" i="12"/>
  <c r="G14" i="12"/>
  <c r="G16" i="12"/>
  <c r="H16" i="12"/>
  <c r="H15" i="12"/>
  <c r="H14" i="12"/>
  <c r="C16" i="12"/>
  <c r="C15" i="12"/>
  <c r="C14" i="12"/>
  <c r="F15" i="12"/>
  <c r="F16" i="12"/>
  <c r="F14" i="12"/>
  <c r="D15" i="12"/>
  <c r="D14" i="12"/>
  <c r="D16" i="12"/>
  <c r="E15" i="12"/>
  <c r="E14" i="12"/>
  <c r="E16" i="12"/>
  <c r="I9" i="12"/>
  <c r="I11" i="12"/>
  <c r="I10" i="12"/>
  <c r="F9" i="12"/>
  <c r="F11" i="12"/>
  <c r="H9" i="12"/>
  <c r="H10" i="12"/>
  <c r="H11" i="12"/>
  <c r="G11" i="12"/>
  <c r="G10" i="12"/>
  <c r="G9" i="12"/>
  <c r="E11" i="12"/>
  <c r="E9" i="12"/>
  <c r="E10" i="12"/>
  <c r="D11" i="12"/>
  <c r="D9" i="12"/>
  <c r="D10" i="12"/>
  <c r="D21" i="7"/>
  <c r="D13" i="7"/>
  <c r="D123" i="7"/>
  <c r="D126" i="7" s="1"/>
  <c r="E123" i="7"/>
  <c r="E126" i="7" s="1"/>
  <c r="E131" i="7" s="1"/>
  <c r="E132" i="7" s="1"/>
  <c r="E20" i="7" s="1"/>
  <c r="G123" i="7"/>
  <c r="G126" i="7" s="1"/>
  <c r="G131" i="7" s="1"/>
  <c r="G132" i="7" s="1"/>
  <c r="G20" i="7" s="1"/>
  <c r="H123" i="7"/>
  <c r="H126" i="7" s="1"/>
  <c r="H131" i="7" s="1"/>
  <c r="H132" i="7" s="1"/>
  <c r="H20" i="7" s="1"/>
  <c r="I123" i="7"/>
  <c r="I126" i="7" s="1"/>
  <c r="I131" i="7" s="1"/>
  <c r="I132" i="7" s="1"/>
  <c r="I20" i="7" s="1"/>
  <c r="F123" i="7"/>
  <c r="F126" i="7" s="1"/>
  <c r="F131" i="7" s="1"/>
  <c r="F132" i="7" s="1"/>
  <c r="F20" i="7" s="1"/>
  <c r="F12" i="7" l="1"/>
  <c r="F13" i="7" s="1"/>
  <c r="F21" i="7"/>
  <c r="G12" i="7"/>
  <c r="G13" i="7" s="1"/>
  <c r="G21" i="7"/>
  <c r="I12" i="7"/>
  <c r="I13" i="7" s="1"/>
  <c r="I21" i="7"/>
  <c r="H12" i="7"/>
  <c r="H13" i="7" s="1"/>
  <c r="H21" i="7"/>
  <c r="E12" i="7"/>
  <c r="E13" i="7" s="1"/>
  <c r="E21" i="7"/>
  <c r="C107" i="4" l="1"/>
  <c r="C101" i="4"/>
  <c r="C97" i="4"/>
  <c r="E43" i="4"/>
  <c r="E50" i="4" s="1"/>
  <c r="F43" i="4"/>
  <c r="F50" i="4" s="1"/>
  <c r="G43" i="4"/>
  <c r="G50" i="4" s="1"/>
  <c r="H43" i="4"/>
  <c r="H50" i="4" s="1"/>
  <c r="I43" i="4"/>
  <c r="I50" i="4" s="1"/>
  <c r="D43" i="4"/>
  <c r="D50" i="4" s="1"/>
  <c r="E39" i="4"/>
  <c r="E49" i="4" s="1"/>
  <c r="F39" i="4"/>
  <c r="F49" i="4" s="1"/>
  <c r="G39" i="4"/>
  <c r="G49" i="4" s="1"/>
  <c r="H39" i="4"/>
  <c r="H49" i="4" s="1"/>
  <c r="I39" i="4"/>
  <c r="I49" i="4" s="1"/>
  <c r="D39" i="4"/>
  <c r="D49" i="4" s="1"/>
  <c r="E38" i="4"/>
  <c r="E48" i="4" s="1"/>
  <c r="F38" i="4"/>
  <c r="F48" i="4" s="1"/>
  <c r="G38" i="4"/>
  <c r="G48" i="4" s="1"/>
  <c r="H38" i="4"/>
  <c r="H48" i="4" s="1"/>
  <c r="I38" i="4"/>
  <c r="I48" i="4" s="1"/>
  <c r="D38" i="4"/>
  <c r="D48" i="4" s="1"/>
  <c r="E68" i="4"/>
  <c r="F68" i="4"/>
  <c r="G68" i="4"/>
  <c r="H68" i="4"/>
  <c r="I68" i="4"/>
  <c r="D68" i="4"/>
  <c r="D67" i="4"/>
  <c r="E67" i="4"/>
  <c r="F67" i="4"/>
  <c r="G67" i="4"/>
  <c r="H67" i="4"/>
  <c r="I67" i="4"/>
  <c r="E66" i="4"/>
  <c r="F66" i="4"/>
  <c r="G66" i="4"/>
  <c r="H66" i="4"/>
  <c r="I66" i="4"/>
  <c r="D66" i="4"/>
  <c r="C51" i="4"/>
  <c r="C44" i="4"/>
  <c r="C40" i="4"/>
  <c r="C82" i="4"/>
  <c r="C75" i="4"/>
  <c r="I74" i="4"/>
  <c r="H74" i="4"/>
  <c r="G74" i="4"/>
  <c r="F74" i="4"/>
  <c r="E74" i="4"/>
  <c r="D74" i="4"/>
  <c r="C69" i="4"/>
  <c r="D72" i="4"/>
  <c r="E72" i="4"/>
  <c r="F72" i="4"/>
  <c r="G72" i="4"/>
  <c r="H72" i="4"/>
  <c r="I72" i="4"/>
  <c r="D73" i="4"/>
  <c r="E73" i="4"/>
  <c r="F73" i="4"/>
  <c r="G73" i="4"/>
  <c r="H73" i="4"/>
  <c r="I73" i="4"/>
  <c r="H101" i="4" l="1"/>
  <c r="H106" i="4" s="1"/>
  <c r="D97" i="4"/>
  <c r="H97" i="4"/>
  <c r="I97" i="4"/>
  <c r="E101" i="4"/>
  <c r="E106" i="4" s="1"/>
  <c r="I101" i="4"/>
  <c r="I106" i="4" s="1"/>
  <c r="E97" i="4"/>
  <c r="D101" i="4"/>
  <c r="D106" i="4" s="1"/>
  <c r="F101" i="4"/>
  <c r="F106" i="4" s="1"/>
  <c r="G101" i="4"/>
  <c r="G106" i="4" s="1"/>
  <c r="F97" i="4"/>
  <c r="G97" i="4"/>
  <c r="D44" i="4"/>
  <c r="D81" i="4"/>
  <c r="E44" i="4"/>
  <c r="D40" i="4"/>
  <c r="E40" i="4"/>
  <c r="F40" i="4"/>
  <c r="G40" i="4"/>
  <c r="H40" i="4"/>
  <c r="I81" i="4"/>
  <c r="F44" i="4"/>
  <c r="I40" i="4"/>
  <c r="H81" i="4"/>
  <c r="G44" i="4"/>
  <c r="H80" i="4"/>
  <c r="G81" i="4"/>
  <c r="H44" i="4"/>
  <c r="G80" i="4"/>
  <c r="F81" i="4"/>
  <c r="I44" i="4"/>
  <c r="D51" i="4"/>
  <c r="D17" i="4" s="1"/>
  <c r="F51" i="4"/>
  <c r="F17" i="4" s="1"/>
  <c r="G51" i="4"/>
  <c r="G17" i="4" s="1"/>
  <c r="H51" i="4"/>
  <c r="H17" i="4" s="1"/>
  <c r="I51" i="4"/>
  <c r="I17" i="4" s="1"/>
  <c r="E80" i="4"/>
  <c r="F80" i="4"/>
  <c r="E81" i="4"/>
  <c r="D80" i="4"/>
  <c r="I79" i="4"/>
  <c r="H79" i="4"/>
  <c r="G79" i="4"/>
  <c r="F79" i="4"/>
  <c r="E79" i="4"/>
  <c r="I80" i="4"/>
  <c r="I75" i="4"/>
  <c r="H75" i="4"/>
  <c r="G75" i="4"/>
  <c r="F75" i="4"/>
  <c r="E75" i="4"/>
  <c r="D75" i="4"/>
  <c r="D79" i="4"/>
  <c r="I69" i="4"/>
  <c r="H69" i="4"/>
  <c r="G69" i="4"/>
  <c r="F69" i="4"/>
  <c r="E69" i="4"/>
  <c r="D69" i="4"/>
  <c r="H9" i="4" l="1"/>
  <c r="I9" i="4"/>
  <c r="G9" i="4"/>
  <c r="F9" i="4"/>
  <c r="D9" i="4"/>
  <c r="D122" i="4" s="1"/>
  <c r="G105" i="4"/>
  <c r="G107" i="4" s="1"/>
  <c r="G19" i="4" s="1"/>
  <c r="G11" i="4" s="1"/>
  <c r="F105" i="4"/>
  <c r="F107" i="4" s="1"/>
  <c r="F19" i="4" s="1"/>
  <c r="F11" i="4" s="1"/>
  <c r="I131" i="4"/>
  <c r="I20" i="4" s="1"/>
  <c r="I12" i="4" s="1"/>
  <c r="D105" i="4"/>
  <c r="D107" i="4" s="1"/>
  <c r="D19" i="4" s="1"/>
  <c r="D11" i="4" s="1"/>
  <c r="I105" i="4"/>
  <c r="I107" i="4" s="1"/>
  <c r="I19" i="4" s="1"/>
  <c r="I11" i="4" s="1"/>
  <c r="D131" i="4"/>
  <c r="D20" i="4" s="1"/>
  <c r="D12" i="4" s="1"/>
  <c r="E105" i="4"/>
  <c r="E107" i="4" s="1"/>
  <c r="E19" i="4" s="1"/>
  <c r="E11" i="4" s="1"/>
  <c r="E131" i="4"/>
  <c r="E20" i="4" s="1"/>
  <c r="E12" i="4" s="1"/>
  <c r="H105" i="4"/>
  <c r="H107" i="4" s="1"/>
  <c r="H19" i="4" s="1"/>
  <c r="H11" i="4" s="1"/>
  <c r="D82" i="4"/>
  <c r="D18" i="4" s="1"/>
  <c r="D10" i="4" s="1"/>
  <c r="D123" i="4" s="1"/>
  <c r="D125" i="4" s="1"/>
  <c r="G82" i="4"/>
  <c r="G18" i="4" s="1"/>
  <c r="G10" i="4" s="1"/>
  <c r="H82" i="4"/>
  <c r="H18" i="4" s="1"/>
  <c r="H10" i="4" s="1"/>
  <c r="I82" i="4"/>
  <c r="I18" i="4" s="1"/>
  <c r="I10" i="4" s="1"/>
  <c r="E51" i="4"/>
  <c r="E17" i="4" s="1"/>
  <c r="F82" i="4"/>
  <c r="F18" i="4" s="1"/>
  <c r="F10" i="4" s="1"/>
  <c r="E82" i="4"/>
  <c r="E18" i="4" s="1"/>
  <c r="E10" i="4" s="1"/>
  <c r="D21" i="4" l="1"/>
  <c r="D13" i="4"/>
  <c r="I13" i="4"/>
  <c r="E9" i="4"/>
  <c r="E13" i="4" s="1"/>
  <c r="E21" i="4"/>
  <c r="I21" i="4"/>
  <c r="F131" i="4"/>
  <c r="F20" i="4" s="1"/>
  <c r="F12" i="4" s="1"/>
  <c r="F13" i="4" s="1"/>
  <c r="H131" i="4"/>
  <c r="H20" i="4" s="1"/>
  <c r="H12" i="4" s="1"/>
  <c r="H13" i="4" s="1"/>
  <c r="G131" i="4"/>
  <c r="G20" i="4" s="1"/>
  <c r="G12" i="4" s="1"/>
  <c r="G13" i="4" s="1"/>
  <c r="F21" i="4" l="1"/>
  <c r="H21" i="4"/>
  <c r="G21" i="4"/>
</calcChain>
</file>

<file path=xl/sharedStrings.xml><?xml version="1.0" encoding="utf-8"?>
<sst xmlns="http://schemas.openxmlformats.org/spreadsheetml/2006/main" count="1054" uniqueCount="207">
  <si>
    <t>Spending pressures</t>
  </si>
  <si>
    <t>Revenues outlook</t>
  </si>
  <si>
    <t>Contents</t>
  </si>
  <si>
    <t>Lower cost &amp; demand pressures</t>
  </si>
  <si>
    <t>Central cost &amp; demand pressures</t>
  </si>
  <si>
    <t>Higher cost &amp; demand pressures</t>
  </si>
  <si>
    <t>Pre-COVID spending plans</t>
  </si>
  <si>
    <t>Current spending plans</t>
  </si>
  <si>
    <t>Funding gap</t>
  </si>
  <si>
    <t>Back to contents</t>
  </si>
  <si>
    <t>2019-20</t>
  </si>
  <si>
    <t>2020-21</t>
  </si>
  <si>
    <t>2021-22</t>
  </si>
  <si>
    <t>2022-23</t>
  </si>
  <si>
    <t>2023-24</t>
  </si>
  <si>
    <t>2024-25</t>
  </si>
  <si>
    <t>2025-26</t>
  </si>
  <si>
    <t>Employee costs</t>
  </si>
  <si>
    <t>GDP deflator (smoothed to 2025-26)</t>
  </si>
  <si>
    <t>Non-staff costs</t>
  </si>
  <si>
    <t>Productivity</t>
  </si>
  <si>
    <t>Effect of earnings growth on growth in non-staff costs</t>
  </si>
  <si>
    <t>Demand for adult social services</t>
  </si>
  <si>
    <t>Social services</t>
  </si>
  <si>
    <t>Older adults</t>
  </si>
  <si>
    <t>Younger adults</t>
  </si>
  <si>
    <t>Families and children</t>
  </si>
  <si>
    <t>Demand for children and families' services</t>
  </si>
  <si>
    <t>Spending pressures from 2019-20 (£ million)</t>
  </si>
  <si>
    <t>Modelled assumptions</t>
  </si>
  <si>
    <t>Total</t>
  </si>
  <si>
    <t>Employee costs (£ million)</t>
  </si>
  <si>
    <t>Non-staff costs (£ million)</t>
  </si>
  <si>
    <t>Schools</t>
  </si>
  <si>
    <t>Teacher costs</t>
  </si>
  <si>
    <t>Other staff costs</t>
  </si>
  <si>
    <t>Pupil population</t>
  </si>
  <si>
    <t>Other local government services*</t>
  </si>
  <si>
    <t>Summary</t>
  </si>
  <si>
    <t>Other local government services</t>
  </si>
  <si>
    <t>COVID-19</t>
  </si>
  <si>
    <t>COVID-19 (unfunded pressures)</t>
  </si>
  <si>
    <t>Total*</t>
  </si>
  <si>
    <t>* Excludes element financed by the Housing Benefit grant</t>
  </si>
  <si>
    <t>Implied gross expenditure on services</t>
  </si>
  <si>
    <t>Lower cost and demand pressures (S1)</t>
  </si>
  <si>
    <t>Population growth</t>
  </si>
  <si>
    <t>Staff costs</t>
  </si>
  <si>
    <t>Implied income based on 2019-20 shares (£ million)</t>
  </si>
  <si>
    <t>Other</t>
  </si>
  <si>
    <t>% of income recovered - schools</t>
  </si>
  <si>
    <t>% of income recovered - social services</t>
  </si>
  <si>
    <t>% of income recovered - other</t>
  </si>
  <si>
    <t>** Excludes element financed by the Housing Benefit grant</t>
  </si>
  <si>
    <t>Income losses</t>
  </si>
  <si>
    <t>Expenditure*</t>
  </si>
  <si>
    <t>* Excluded COVID-19 expenditure that is already funded</t>
  </si>
  <si>
    <t>COVID-19 expenditure claims in 2020-21 (£ million)</t>
  </si>
  <si>
    <t>COVID expenditure (% of 2020-21)*</t>
  </si>
  <si>
    <t>* Excludes element financed by the Housing Benefit grant and funded COVID-19 spending in 2020-21 and 2021-22</t>
  </si>
  <si>
    <t>Central cost and demand pressures (S2)</t>
  </si>
  <si>
    <t>Higher cost and demand pressures (S3)</t>
  </si>
  <si>
    <t>Cost of RLW (£ million)</t>
  </si>
  <si>
    <t>Current spending plans (R1)</t>
  </si>
  <si>
    <t>Specific grants (excl. housing benefit grant)</t>
  </si>
  <si>
    <t>Council tax reduction scheme (CTRS)</t>
  </si>
  <si>
    <t>Discretionary NDR relief financed by LAs</t>
  </si>
  <si>
    <t>Appropriations to/from reserves</t>
  </si>
  <si>
    <t>Adjustments</t>
  </si>
  <si>
    <t>Debt financing costs</t>
  </si>
  <si>
    <t>Revenue support grant (RSG)</t>
  </si>
  <si>
    <t>% of gross revenue expenditure</t>
  </si>
  <si>
    <t>Net current expenditure</t>
  </si>
  <si>
    <t>Levies &amp; communtiy precepts</t>
  </si>
  <si>
    <t>Net current expenditure on services</t>
  </si>
  <si>
    <t>Total income</t>
  </si>
  <si>
    <t>% of net current expenditure on services</t>
  </si>
  <si>
    <t>Revenues outlook (£ million)</t>
  </si>
  <si>
    <t>All figures in cash terms</t>
  </si>
  <si>
    <t>Pre-COVID spending plans (R2)</t>
  </si>
  <si>
    <t>Council tax to be collected (net of CTRS)*</t>
  </si>
  <si>
    <t>Gross revenue expenditure**</t>
  </si>
  <si>
    <t>Gross expenditure on services**</t>
  </si>
  <si>
    <t>** Excluding housing benefit grant</t>
  </si>
  <si>
    <t>* Assumes 4.5% increase in Council Tax levels each year from 2022-23</t>
  </si>
  <si>
    <t>Council tax to be collected (gross of CTRS)*</t>
  </si>
  <si>
    <t>Funding gap estimates</t>
  </si>
  <si>
    <t>R1 (Current spending plans)</t>
  </si>
  <si>
    <t>Low cost / demand pressures (S1)</t>
  </si>
  <si>
    <t>Central cost / demand pressures (S2)</t>
  </si>
  <si>
    <t>Higher cost / demand pressures (S3)</t>
  </si>
  <si>
    <t>R2 (Pre-COVID spending plans)</t>
  </si>
  <si>
    <t>Outturn</t>
  </si>
  <si>
    <t>Budgeted</t>
  </si>
  <si>
    <t>Forecast</t>
  </si>
  <si>
    <t>2013-14</t>
  </si>
  <si>
    <t>2014-15</t>
  </si>
  <si>
    <t>2015-16</t>
  </si>
  <si>
    <t>2016-17</t>
  </si>
  <si>
    <t>2017-18</t>
  </si>
  <si>
    <t>2018-19</t>
  </si>
  <si>
    <t>Forecast methodology</t>
  </si>
  <si>
    <t>Total revenue net of CTRS (£ million)</t>
  </si>
  <si>
    <t>Tax setting taxbase</t>
  </si>
  <si>
    <t>Band D equivalent rate</t>
  </si>
  <si>
    <t>% change in Council Tax base</t>
  </si>
  <si>
    <t>Based on OBR EFO (March 2021) forecast</t>
  </si>
  <si>
    <t>% change in Council Tax rates</t>
  </si>
  <si>
    <t>Own assumption</t>
  </si>
  <si>
    <t>Amount to be collected (before CTRS)</t>
  </si>
  <si>
    <t>Council Tax Reduction Scheme</t>
  </si>
  <si>
    <t>CTRS as % of budgeted</t>
  </si>
  <si>
    <t>See box below</t>
  </si>
  <si>
    <t>Collection rate as % of budgeted</t>
  </si>
  <si>
    <t>Total revenue net of CTRS (restated)</t>
  </si>
  <si>
    <t>Total revenue gross of CTRS</t>
  </si>
  <si>
    <t>Notes</t>
  </si>
  <si>
    <t>The tax setting taxbase is lower than the figure for Band D equivalent dwellings because it accounts for discounts, premiums and exemptions and includes an adjustment for the budgeted collection rate.</t>
  </si>
  <si>
    <t>Band D equivalent rate excludes the police precept but includes community council precept.</t>
  </si>
  <si>
    <t>Collection rate as % of budgeted is higher than collection rate as % of amount debited because the tax setting adjustment already includes an adjustment for the amount budgeted for collection.</t>
  </si>
  <si>
    <t xml:space="preserve">In the long run, it is assumed that BASELINE CTRS as a share of the amount to be collected (before CTRS) will remain constant. </t>
  </si>
  <si>
    <t>% change in Council Tax base is assumed to be 0.8% in the long run, in line with OBR forecasts.</t>
  </si>
  <si>
    <t>CTRS FORECAST</t>
  </si>
  <si>
    <t>Value of CTRS for working-age households</t>
  </si>
  <si>
    <t>2019-20 and 2020-21 figures from PIP report, then tracks OBR forecasts for unemployment and liabilities</t>
  </si>
  <si>
    <t>Implied value of CTRS for non working-age households</t>
  </si>
  <si>
    <t>Grows in line with liabilities</t>
  </si>
  <si>
    <t>Unemployment rate</t>
  </si>
  <si>
    <t>Non-working age CTRS as share of CT to be collected (before CTRS)</t>
  </si>
  <si>
    <t>Working age CTRS as share of CT to be collected (before CTRS)</t>
  </si>
  <si>
    <t>https://gov.wales/council-tax-reduction-scheme-and-covid-19-wales-interim-findings</t>
  </si>
  <si>
    <t>Unemployment rate (EFO MARCH 2021)</t>
  </si>
  <si>
    <t>March 2020 forecast</t>
  </si>
  <si>
    <t>November 2020 downside scenario</t>
  </si>
  <si>
    <t>November 2020 upside scenario</t>
  </si>
  <si>
    <t>November 2020 central forecast</t>
  </si>
  <si>
    <t>Range of November 2020 scenarios</t>
  </si>
  <si>
    <t>March 2021 forecast</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</si>
  <si>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</si>
  <si>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</si>
  <si>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</si>
  <si>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</si>
  <si>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</si>
  <si>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</si>
  <si>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</si>
  <si>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</si>
  <si>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</si>
  <si>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</si>
  <si>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</si>
  <si>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</si>
  <si>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</si>
  <si>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</si>
  <si>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</si>
  <si>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</si>
  <si>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</si>
  <si>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</si>
  <si>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</si>
  <si>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</si>
  <si>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</si>
  <si>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</si>
  <si>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</si>
  <si>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</si>
  <si>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</si>
  <si>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</si>
  <si>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</si>
  <si>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</si>
  <si>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</si>
  <si>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</si>
  <si>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</si>
  <si>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</si>
  <si>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</si>
  <si>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2023 Q2</t>
  </si>
  <si>
    <t>2023 Q3</t>
  </si>
  <si>
    <t>2023 Q4</t>
  </si>
  <si>
    <t>2024 Q1</t>
  </si>
  <si>
    <t>2024 Q2</t>
  </si>
  <si>
    <t>2024 Q3</t>
  </si>
  <si>
    <t>2024 Q4</t>
  </si>
  <si>
    <t>2025 Q1</t>
  </si>
  <si>
    <t>2025 Q2</t>
  </si>
  <si>
    <t>2025 Q3</t>
  </si>
  <si>
    <t>2025 Q4</t>
  </si>
  <si>
    <t>2026 Q1</t>
  </si>
  <si>
    <t>CT CALC</t>
  </si>
  <si>
    <t>R1b (Current spending plans &amp; NHS pressures funded)</t>
  </si>
  <si>
    <t>R2b (Pre-COVID spending plans &amp; NHS pressures funded)</t>
  </si>
  <si>
    <t>Current spending plans &amp; NHS pressures funded (R1b)</t>
  </si>
  <si>
    <t>Pre-COVID spending plans &amp; NHS pressures funded (R2b)</t>
  </si>
  <si>
    <t>Current spending plans &amp; NHS pressures funded</t>
  </si>
  <si>
    <t>Pre-COVID spending plans &amp; NHS pressures funded</t>
  </si>
  <si>
    <t>About us</t>
  </si>
  <si>
    <r>
      <t>Wales Fiscal Analysis (WFA) is a research body within Cardiff University’s Wales Governance Centre that undertakes authoritative and independent research into the public finances, taxation, and public expenditures of Wales</t>
    </r>
    <r>
      <rPr>
        <sz val="9"/>
        <color rgb="FF000000"/>
        <rFont val="Arial"/>
        <family val="2"/>
      </rPr>
      <t>.</t>
    </r>
  </si>
  <si>
    <r>
      <t>The WFA programme adds public value by commenting on the implications of fiscal events such as UK and Welsh budgets, monitoring and reporting on government expenditure and tax revenues in Wales and publishing academic research and policy papers that investigate matters of importance to Welsh public finance, including the impact of Brexit on the Welsh budget and local services, options for tax policy, and the economics and future sustainability of health and social care services in Wales.</t>
    </r>
    <r>
      <rPr>
        <b/>
        <sz val="64.5"/>
        <color rgb="FFCE0538"/>
        <rFont val="Century Gothic"/>
        <family val="2"/>
      </rPr>
      <t xml:space="preserve"> </t>
    </r>
  </si>
  <si>
    <t>Working with partners in Scotland, Northern Ireland, the UK and other European countries, we also contribute to the wider UK and international debate on the fiscal dimension of devolution and decentralisation of government.</t>
  </si>
  <si>
    <t>Wales Fiscal Analysis is hosted by the Wales Governance Centre and the School of Law and Politics at Cardiff University, and funded through a partnership between Cardiff University, the Welsh Government, the Welsh Local Government Association and Solace Wales. The programme continues the work of Wales Public Services 2025 hosted by Cardiff Business School, up to August 2018.</t>
  </si>
  <si>
    <t>SionC1@cardiff.ac.uk</t>
  </si>
  <si>
    <t>DOWNLOAD FULL REPORT</t>
  </si>
  <si>
    <t>Declaration of funding</t>
  </si>
  <si>
    <t>* Difference between projected gross service expenditure and required levels of spending to meet spending pressures in full</t>
  </si>
  <si>
    <t>Annual council tax increase from 2022-23 onwards**</t>
  </si>
  <si>
    <t>Summary*</t>
  </si>
  <si>
    <r>
      <t xml:space="preserve">** Average annual increase in Council Tax levels (excl. police precepts), assumption can be modified in cell </t>
    </r>
    <r>
      <rPr>
        <b/>
        <sz val="8"/>
        <color theme="1"/>
        <rFont val="Arial"/>
        <family val="2"/>
      </rPr>
      <t>I3</t>
    </r>
  </si>
  <si>
    <t>ENTER COUNCIL TAX ASSUMPTION HERE</t>
  </si>
  <si>
    <t>Local government &amp; the Welsh budget:</t>
  </si>
  <si>
    <t>Outlook and challenges for the next Welsh Government</t>
  </si>
  <si>
    <t>Non-domestic rates***</t>
  </si>
  <si>
    <t>***The value of NDR reliefs in included our forecasts for NDR receipts. Effectively, these reliefs have no impact on local authority budgets as the cost of providing them is fully offset by increased funding from the Welsh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</si>
</sst>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_-;\-* #,##0_-;_-* &quot;-&quot;??_-;_-@_-"/>
    <numFmt numFmtId="166" formatCode="0.0%"/>
    <numFmt numFmtId="167" formatCode="_-* #,##0.000_-;\-* #,##0.000_-;_-* &quot;-&quot;??_-;_-@_-"/>
    <numFmt numFmtId="168" formatCode="0.000%"/>
    <numFmt numFmtId="169" formatCode="0.0000%"/>
  </numFmts>
  <fonts count="36" x14ac:knownFonts="1">
    <font>
      <sz val="11"/>
      <color theme="1"/>
      <name val="Calibri"/>
      <family val="2"/>
      <scheme val="minor"/>
    </font>
    <font>
      <sz val="11"/>
      <color theme="1"/>
      <name val="Arial"/>
      <family val="2"/>
    </font>
    <font>
      <sz val="10"/>
      <color theme="1"/>
      <name val="Arial"/>
      <family val="2"/>
    </font>
    <font>
      <u/>
      <sz val="11"/>
      <color theme="10"/>
      <name val="Calibri"/>
      <family val="2"/>
      <scheme val="minor"/>
    </font>
    <font>
      <sz val="11"/>
      <color theme="1"/>
      <name val="Calibri"/>
      <family val="2"/>
      <scheme val="minor"/>
    </font>
    <font>
      <sz val="10"/>
      <color theme="0" tint="-4.9989318521683403E-2"/>
      <name val="Arial"/>
      <family val="2"/>
    </font>
    <font>
      <b/>
      <sz val="10"/>
      <color theme="1"/>
      <name val="Arial"/>
      <family val="2"/>
    </font>
    <font>
      <b/>
      <sz val="9"/>
      <color theme="1"/>
      <name val="Arial"/>
      <family val="2"/>
    </font>
    <font>
      <sz val="9"/>
      <color theme="1"/>
      <name val="Arial"/>
      <family val="2"/>
    </font>
    <font>
      <sz val="9"/>
      <color theme="1"/>
      <name val="Calibri"/>
      <family val="2"/>
      <scheme val="minor"/>
    </font>
    <font>
      <b/>
      <sz val="12"/>
      <color rgb="FFCE0538"/>
      <name val="Arial"/>
      <family val="2"/>
    </font>
    <font>
      <i/>
      <sz val="11"/>
      <color theme="1"/>
      <name val="Arial"/>
      <family val="2"/>
    </font>
    <font>
      <i/>
      <sz val="10"/>
      <color theme="1"/>
      <name val="Arial"/>
      <family val="2"/>
    </font>
    <font>
      <b/>
      <sz val="10"/>
      <color theme="0"/>
      <name val="Arial"/>
      <family val="2"/>
    </font>
    <font>
      <u/>
      <sz val="9"/>
      <color theme="10"/>
      <name val="Arial"/>
      <family val="2"/>
    </font>
    <font>
      <b/>
      <sz val="16"/>
      <color theme="0"/>
      <name val="Arial"/>
      <family val="2"/>
    </font>
    <font>
      <sz val="11"/>
      <color theme="0"/>
      <name val="Calibri"/>
      <family val="2"/>
      <scheme val="minor"/>
    </font>
    <font>
      <sz val="8"/>
      <color theme="1"/>
      <name val="Arial"/>
      <family val="2"/>
    </font>
    <font>
      <u/>
      <sz val="10"/>
      <color theme="10"/>
      <name val="Arial"/>
      <family val="2"/>
    </font>
    <font>
      <sz val="10"/>
      <color theme="0"/>
      <name val="Arial"/>
      <family val="2"/>
    </font>
    <font>
      <b/>
      <sz val="11"/>
      <color theme="1"/>
      <name val="Calibri"/>
      <family val="2"/>
      <scheme val="minor"/>
    </font>
    <font>
      <b/>
      <sz val="11"/>
      <color theme="1"/>
      <name val="Arial"/>
      <family val="2"/>
    </font>
    <font>
      <b/>
      <sz val="11"/>
      <color rgb="FFCE0538"/>
      <name val="Calibri"/>
      <family val="2"/>
      <scheme val="minor"/>
    </font>
    <font>
      <sz val="9"/>
      <color theme="3"/>
      <name val="Arial"/>
      <family val="2"/>
    </font>
    <font>
      <b/>
      <sz val="11"/>
      <color theme="0"/>
      <name val="Arial"/>
      <family val="2"/>
    </font>
    <font>
      <sz val="11"/>
      <name val="Arial"/>
      <family val="2"/>
    </font>
    <font>
      <b/>
      <sz val="11"/>
      <name val="Arial"/>
      <family val="2"/>
    </font>
    <font>
      <i/>
      <sz val="9"/>
      <color theme="1"/>
      <name val="Arial"/>
      <family val="2"/>
    </font>
    <font>
      <sz val="8"/>
      <color theme="1"/>
      <name val="Calibri"/>
      <family val="2"/>
      <scheme val="minor"/>
    </font>
    <font>
      <i/>
      <sz val="11"/>
      <color theme="1"/>
      <name val="Calibri"/>
      <family val="2"/>
      <scheme val="minor"/>
    </font>
    <font>
      <sz val="8"/>
      <color theme="2" tint="-9.9978637043366805E-2"/>
      <name val="Calibri"/>
      <family val="2"/>
      <scheme val="minor"/>
    </font>
    <font>
      <sz val="9"/>
      <color rgb="FF000000"/>
      <name val="Arial"/>
      <family val="2"/>
    </font>
    <font>
      <b/>
      <sz val="64.5"/>
      <color rgb="FFCE0538"/>
      <name val="Century Gothic"/>
      <family val="2"/>
    </font>
    <font>
      <b/>
      <sz val="9"/>
      <color rgb="FFCE0538"/>
      <name val="Arial"/>
      <family val="2"/>
    </font>
    <font>
      <b/>
      <sz val="8"/>
      <color theme="1"/>
      <name val="Arial"/>
      <family val="2"/>
    </font>
    <font>
      <b/>
      <sz val="8"/>
      <color rgb="FFCE0538"/>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373737"/>
        <bgColor indexed="64"/>
      </patternFill>
    </fill>
    <fill>
      <patternFill patternType="solid">
        <fgColor theme="0" tint="-0.499984740745262"/>
        <bgColor indexed="64"/>
      </patternFill>
    </fill>
    <fill>
      <patternFill patternType="solid">
        <fgColor rgb="FFCE0538"/>
        <bgColor indexed="64"/>
      </patternFill>
    </fill>
    <fill>
      <patternFill patternType="solid">
        <fgColor theme="4"/>
        <bgColor indexed="64"/>
      </patternFill>
    </fill>
    <fill>
      <patternFill patternType="solid">
        <fgColor theme="5"/>
        <bgColor indexed="64"/>
      </patternFill>
    </fill>
    <fill>
      <patternFill patternType="solid">
        <fgColor theme="5" tint="0.59999389629810485"/>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s>
  <cellStyleXfs count="4">
    <xf numFmtId="0" fontId="0" fillId="0" borderId="0"/>
    <xf numFmtId="0" fontId="3" fillId="0" borderId="0" applyNumberFormat="0" applyFill="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197">
    <xf numFmtId="0" fontId="0" fillId="0" borderId="0" xfId="0"/>
    <xf numFmtId="0" fontId="1" fillId="2" borderId="0" xfId="0" applyFont="1" applyFill="1"/>
    <xf numFmtId="0" fontId="0" fillId="2" borderId="0" xfId="0" applyFill="1"/>
    <xf numFmtId="0" fontId="2" fillId="2" borderId="0" xfId="0" applyFont="1" applyFill="1" applyAlignment="1">
      <alignment horizontal="left"/>
    </xf>
    <xf numFmtId="0" fontId="2" fillId="2" borderId="0" xfId="0" applyFont="1" applyFill="1"/>
    <xf numFmtId="0" fontId="1" fillId="2" borderId="0" xfId="0" applyFont="1" applyFill="1" applyBorder="1"/>
    <xf numFmtId="0" fontId="0" fillId="4" borderId="0" xfId="0" applyFill="1"/>
    <xf numFmtId="0" fontId="0" fillId="4" borderId="1" xfId="0" applyFill="1" applyBorder="1"/>
    <xf numFmtId="0" fontId="6" fillId="2" borderId="0" xfId="0" applyFont="1" applyFill="1"/>
    <xf numFmtId="0" fontId="7" fillId="2" borderId="0" xfId="0" applyFont="1" applyFill="1"/>
    <xf numFmtId="0" fontId="8" fillId="2" borderId="0" xfId="0" applyFont="1" applyFill="1"/>
    <xf numFmtId="0" fontId="9" fillId="2" borderId="0" xfId="0" applyFont="1" applyFill="1"/>
    <xf numFmtId="0" fontId="7" fillId="2" borderId="0" xfId="0" applyFont="1" applyFill="1" applyAlignment="1">
      <alignment horizontal="right"/>
    </xf>
    <xf numFmtId="0" fontId="1" fillId="0" borderId="0" xfId="0" applyFont="1"/>
    <xf numFmtId="0" fontId="11" fillId="0" borderId="0" xfId="0" applyFont="1" applyAlignment="1">
      <alignment horizontal="left" indent="2"/>
    </xf>
    <xf numFmtId="0" fontId="2" fillId="3" borderId="0" xfId="0" applyFont="1" applyFill="1" applyBorder="1" applyAlignment="1">
      <alignment horizontal="left" indent="2"/>
    </xf>
    <xf numFmtId="0" fontId="1" fillId="0" borderId="0" xfId="0" applyFont="1" applyFill="1"/>
    <xf numFmtId="0" fontId="11" fillId="0" borderId="0" xfId="0" applyFont="1" applyFill="1" applyAlignment="1">
      <alignment horizontal="left" indent="2"/>
    </xf>
    <xf numFmtId="0" fontId="10" fillId="2" borderId="0" xfId="0" applyFont="1" applyFill="1"/>
    <xf numFmtId="0" fontId="2" fillId="2" borderId="0" xfId="0" applyFont="1" applyFill="1" applyBorder="1" applyAlignment="1">
      <alignment horizontal="left" indent="2"/>
    </xf>
    <xf numFmtId="0" fontId="6" fillId="2" borderId="0" xfId="0" applyFont="1" applyFill="1" applyBorder="1"/>
    <xf numFmtId="0" fontId="6" fillId="2" borderId="0" xfId="0" applyFont="1" applyFill="1" applyBorder="1" applyAlignment="1">
      <alignment horizontal="left" indent="2"/>
    </xf>
    <xf numFmtId="0" fontId="6" fillId="3" borderId="0" xfId="0" applyFont="1" applyFill="1" applyBorder="1"/>
    <xf numFmtId="0" fontId="6" fillId="3" borderId="0" xfId="0" applyFont="1" applyFill="1" applyBorder="1" applyAlignment="1">
      <alignment horizontal="left" indent="2"/>
    </xf>
    <xf numFmtId="164" fontId="2" fillId="2" borderId="0" xfId="0" applyNumberFormat="1" applyFont="1" applyFill="1"/>
    <xf numFmtId="164" fontId="2" fillId="2" borderId="0" xfId="0" applyNumberFormat="1" applyFont="1" applyFill="1" applyBorder="1"/>
    <xf numFmtId="0" fontId="2" fillId="2" borderId="0" xfId="0" applyFont="1" applyFill="1" applyBorder="1"/>
    <xf numFmtId="165" fontId="2" fillId="2" borderId="0" xfId="0" applyNumberFormat="1" applyFont="1" applyFill="1" applyBorder="1"/>
    <xf numFmtId="0" fontId="12" fillId="2" borderId="0" xfId="0" applyFont="1" applyFill="1" applyAlignment="1">
      <alignment horizontal="left" indent="2"/>
    </xf>
    <xf numFmtId="0" fontId="12" fillId="2" borderId="0" xfId="0" applyFont="1" applyFill="1" applyBorder="1" applyAlignment="1">
      <alignment horizontal="left" indent="2"/>
    </xf>
    <xf numFmtId="10" fontId="2" fillId="2" borderId="0" xfId="3" applyNumberFormat="1" applyFont="1" applyFill="1" applyBorder="1"/>
    <xf numFmtId="166" fontId="2" fillId="2" borderId="0" xfId="3" applyNumberFormat="1" applyFont="1" applyFill="1" applyBorder="1"/>
    <xf numFmtId="165" fontId="2" fillId="2" borderId="0" xfId="2" applyNumberFormat="1" applyFont="1" applyFill="1" applyBorder="1"/>
    <xf numFmtId="0" fontId="12" fillId="2" borderId="0" xfId="0" applyFont="1" applyFill="1" applyBorder="1" applyAlignment="1">
      <alignment horizontal="left" indent="4"/>
    </xf>
    <xf numFmtId="1" fontId="2" fillId="2" borderId="0" xfId="0" applyNumberFormat="1" applyFont="1" applyFill="1" applyBorder="1"/>
    <xf numFmtId="0" fontId="13" fillId="5" borderId="2" xfId="0" applyFont="1" applyFill="1" applyBorder="1"/>
    <xf numFmtId="0" fontId="13" fillId="5" borderId="2" xfId="0" applyFont="1" applyFill="1" applyBorder="1" applyAlignment="1">
      <alignment horizontal="right"/>
    </xf>
    <xf numFmtId="0" fontId="2" fillId="2" borderId="1" xfId="0" applyFont="1" applyFill="1" applyBorder="1"/>
    <xf numFmtId="0" fontId="12" fillId="2" borderId="1" xfId="0" applyFont="1" applyFill="1" applyBorder="1" applyAlignment="1">
      <alignment horizontal="left" indent="4"/>
    </xf>
    <xf numFmtId="1" fontId="2" fillId="2" borderId="1" xfId="0" applyNumberFormat="1" applyFont="1" applyFill="1" applyBorder="1"/>
    <xf numFmtId="165" fontId="2" fillId="2" borderId="1" xfId="2" applyNumberFormat="1" applyFont="1" applyFill="1" applyBorder="1"/>
    <xf numFmtId="0" fontId="14" fillId="2" borderId="0" xfId="1" applyFont="1" applyFill="1"/>
    <xf numFmtId="164" fontId="2" fillId="2" borderId="0" xfId="2" applyNumberFormat="1" applyFont="1" applyFill="1"/>
    <xf numFmtId="164" fontId="6" fillId="2" borderId="0" xfId="2" applyNumberFormat="1" applyFont="1" applyFill="1"/>
    <xf numFmtId="164" fontId="2" fillId="3" borderId="0" xfId="2" applyNumberFormat="1" applyFont="1" applyFill="1"/>
    <xf numFmtId="1" fontId="2" fillId="3" borderId="0" xfId="2" applyNumberFormat="1" applyFont="1" applyFill="1"/>
    <xf numFmtId="1" fontId="6" fillId="3" borderId="0" xfId="2" applyNumberFormat="1" applyFont="1" applyFill="1"/>
    <xf numFmtId="0" fontId="13" fillId="6" borderId="2" xfId="0" applyFont="1" applyFill="1" applyBorder="1"/>
    <xf numFmtId="0" fontId="13" fillId="6" borderId="2" xfId="0" applyFont="1" applyFill="1" applyBorder="1" applyAlignment="1">
      <alignment horizontal="right"/>
    </xf>
    <xf numFmtId="0" fontId="10" fillId="2" borderId="0" xfId="0" applyFont="1" applyFill="1" applyAlignment="1">
      <alignment horizontal="right"/>
    </xf>
    <xf numFmtId="0" fontId="17" fillId="2" borderId="0" xfId="0" applyFont="1" applyFill="1"/>
    <xf numFmtId="0" fontId="2" fillId="3" borderId="0" xfId="0" applyFont="1" applyFill="1" applyBorder="1" applyAlignment="1">
      <alignment horizontal="left"/>
    </xf>
    <xf numFmtId="0" fontId="2" fillId="3" borderId="1" xfId="0" applyFont="1" applyFill="1" applyBorder="1"/>
    <xf numFmtId="0" fontId="12" fillId="3" borderId="1" xfId="0" applyFont="1" applyFill="1" applyBorder="1" applyAlignment="1">
      <alignment horizontal="left" indent="4"/>
    </xf>
    <xf numFmtId="1" fontId="2" fillId="3" borderId="1" xfId="0" applyNumberFormat="1" applyFont="1" applyFill="1" applyBorder="1"/>
    <xf numFmtId="165" fontId="2" fillId="3" borderId="1" xfId="2" applyNumberFormat="1" applyFont="1" applyFill="1" applyBorder="1"/>
    <xf numFmtId="0" fontId="2" fillId="3" borderId="0" xfId="0" applyFont="1" applyFill="1"/>
    <xf numFmtId="0" fontId="6" fillId="3" borderId="0" xfId="0" applyFont="1" applyFill="1"/>
    <xf numFmtId="1" fontId="2" fillId="2" borderId="0" xfId="0" applyNumberFormat="1" applyFont="1" applyFill="1"/>
    <xf numFmtId="1" fontId="6" fillId="2" borderId="0" xfId="0" applyNumberFormat="1" applyFont="1" applyFill="1"/>
    <xf numFmtId="1" fontId="2" fillId="2" borderId="0" xfId="2" applyNumberFormat="1" applyFont="1" applyFill="1"/>
    <xf numFmtId="1" fontId="6" fillId="2" borderId="0" xfId="2" applyNumberFormat="1" applyFont="1" applyFill="1"/>
    <xf numFmtId="0" fontId="18" fillId="2" borderId="0" xfId="1" applyFont="1" applyFill="1"/>
    <xf numFmtId="166" fontId="2" fillId="2" borderId="0" xfId="3" applyNumberFormat="1" applyFont="1" applyFill="1"/>
    <xf numFmtId="0" fontId="16" fillId="2" borderId="0" xfId="0" applyFont="1" applyFill="1"/>
    <xf numFmtId="43" fontId="19" fillId="2" borderId="0" xfId="0" applyNumberFormat="1" applyFont="1" applyFill="1" applyBorder="1"/>
    <xf numFmtId="0" fontId="17" fillId="2" borderId="0" xfId="0" applyFont="1" applyFill="1" applyBorder="1" applyAlignment="1">
      <alignment horizontal="left" indent="2"/>
    </xf>
    <xf numFmtId="1" fontId="17" fillId="2" borderId="0" xfId="0" applyNumberFormat="1" applyFont="1" applyFill="1"/>
    <xf numFmtId="166" fontId="17" fillId="2" borderId="0" xfId="3" applyNumberFormat="1" applyFont="1" applyFill="1"/>
    <xf numFmtId="0" fontId="17" fillId="2" borderId="0" xfId="0" applyFont="1" applyFill="1" applyAlignment="1">
      <alignment horizontal="right"/>
    </xf>
    <xf numFmtId="0" fontId="0" fillId="4" borderId="0" xfId="0" applyFill="1" applyBorder="1"/>
    <xf numFmtId="0" fontId="1" fillId="4" borderId="0" xfId="0" applyFont="1" applyFill="1" applyBorder="1"/>
    <xf numFmtId="49" fontId="5" fillId="4" borderId="0" xfId="0" applyNumberFormat="1" applyFont="1" applyFill="1" applyBorder="1" applyAlignment="1">
      <alignment horizontal="left"/>
    </xf>
    <xf numFmtId="0" fontId="6" fillId="2" borderId="0" xfId="0" applyFont="1" applyFill="1" applyAlignment="1">
      <alignment horizontal="right"/>
    </xf>
    <xf numFmtId="0" fontId="2" fillId="2" borderId="0" xfId="0" applyFont="1" applyFill="1" applyAlignment="1">
      <alignment horizontal="right"/>
    </xf>
    <xf numFmtId="0" fontId="21" fillId="2" borderId="1" xfId="0" applyFont="1" applyFill="1" applyBorder="1"/>
    <xf numFmtId="1" fontId="2" fillId="3" borderId="0" xfId="0" applyNumberFormat="1" applyFont="1" applyFill="1"/>
    <xf numFmtId="0" fontId="1" fillId="2" borderId="0" xfId="0" applyFont="1" applyFill="1" applyAlignment="1">
      <alignment horizontal="right"/>
    </xf>
    <xf numFmtId="0" fontId="23" fillId="2" borderId="0" xfId="0" applyFont="1" applyFill="1"/>
    <xf numFmtId="0" fontId="1" fillId="2" borderId="0" xfId="0"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lignment horizontal="center"/>
    </xf>
    <xf numFmtId="0" fontId="24" fillId="7" borderId="2" xfId="0" applyFont="1" applyFill="1" applyBorder="1"/>
    <xf numFmtId="0" fontId="24" fillId="7" borderId="2" xfId="0" applyFont="1" applyFill="1" applyBorder="1" applyAlignment="1">
      <alignment horizontal="center"/>
    </xf>
    <xf numFmtId="0" fontId="21" fillId="3" borderId="0" xfId="0" applyFont="1" applyFill="1" applyAlignment="1">
      <alignment horizontal="left"/>
    </xf>
    <xf numFmtId="0" fontId="21" fillId="2" borderId="0" xfId="0" applyFont="1" applyFill="1" applyAlignment="1">
      <alignment horizontal="right"/>
    </xf>
    <xf numFmtId="0" fontId="1" fillId="3" borderId="0" xfId="0" applyFont="1" applyFill="1"/>
    <xf numFmtId="0" fontId="21" fillId="3" borderId="1" xfId="0" applyFont="1" applyFill="1" applyBorder="1" applyAlignment="1">
      <alignment horizontal="left"/>
    </xf>
    <xf numFmtId="165" fontId="21" fillId="2" borderId="1" xfId="2" applyNumberFormat="1" applyFont="1" applyFill="1" applyBorder="1" applyAlignment="1">
      <alignment horizontal="right"/>
    </xf>
    <xf numFmtId="0" fontId="1" fillId="3" borderId="1" xfId="0" applyFont="1" applyFill="1" applyBorder="1"/>
    <xf numFmtId="0" fontId="1" fillId="3" borderId="0" xfId="0" applyFont="1" applyFill="1" applyAlignment="1">
      <alignment horizontal="left"/>
    </xf>
    <xf numFmtId="165" fontId="1" fillId="2" borderId="0" xfId="2" applyNumberFormat="1" applyFont="1" applyFill="1" applyAlignment="1">
      <alignment horizontal="right"/>
    </xf>
    <xf numFmtId="3" fontId="1" fillId="2" borderId="0" xfId="0" applyNumberFormat="1" applyFont="1" applyFill="1" applyAlignment="1">
      <alignment horizontal="right"/>
    </xf>
    <xf numFmtId="3" fontId="1" fillId="2" borderId="0" xfId="2" applyNumberFormat="1" applyFont="1" applyFill="1" applyAlignment="1">
      <alignment horizontal="right"/>
    </xf>
    <xf numFmtId="4" fontId="1" fillId="3" borderId="0" xfId="0" applyNumberFormat="1" applyFont="1" applyFill="1"/>
    <xf numFmtId="166" fontId="1" fillId="2" borderId="0" xfId="3" applyNumberFormat="1" applyFont="1" applyFill="1" applyAlignment="1">
      <alignment horizontal="right"/>
    </xf>
    <xf numFmtId="166" fontId="1" fillId="2" borderId="0" xfId="0" applyNumberFormat="1" applyFont="1" applyFill="1" applyAlignment="1">
      <alignment horizontal="right"/>
    </xf>
    <xf numFmtId="166" fontId="21" fillId="8" borderId="0" xfId="0" applyNumberFormat="1" applyFont="1" applyFill="1" applyAlignment="1">
      <alignment horizontal="right"/>
    </xf>
    <xf numFmtId="0" fontId="25" fillId="3" borderId="0" xfId="0" applyFont="1" applyFill="1" applyAlignment="1">
      <alignment horizontal="left"/>
    </xf>
    <xf numFmtId="0" fontId="25" fillId="2" borderId="0" xfId="0" applyFont="1" applyFill="1" applyAlignment="1">
      <alignment horizontal="right"/>
    </xf>
    <xf numFmtId="166" fontId="25" fillId="2" borderId="0" xfId="3" applyNumberFormat="1" applyFont="1" applyFill="1" applyAlignment="1">
      <alignment horizontal="right"/>
    </xf>
    <xf numFmtId="166" fontId="25" fillId="0" borderId="0" xfId="3" applyNumberFormat="1" applyFont="1" applyFill="1" applyAlignment="1">
      <alignment horizontal="right"/>
    </xf>
    <xf numFmtId="166" fontId="26" fillId="8" borderId="0" xfId="3" applyNumberFormat="1" applyFont="1" applyFill="1" applyAlignment="1">
      <alignment horizontal="right"/>
    </xf>
    <xf numFmtId="0" fontId="25" fillId="3" borderId="1" xfId="0" applyFont="1" applyFill="1" applyBorder="1" applyAlignment="1">
      <alignment horizontal="left"/>
    </xf>
    <xf numFmtId="165" fontId="25" fillId="2" borderId="1" xfId="2" applyNumberFormat="1" applyFont="1" applyFill="1" applyBorder="1" applyAlignment="1">
      <alignment horizontal="right"/>
    </xf>
    <xf numFmtId="165" fontId="25" fillId="2" borderId="0" xfId="2" applyNumberFormat="1" applyFont="1" applyFill="1" applyAlignment="1">
      <alignment horizontal="right"/>
    </xf>
    <xf numFmtId="3" fontId="25" fillId="2" borderId="0" xfId="0" applyNumberFormat="1" applyFont="1" applyFill="1" applyAlignment="1">
      <alignment horizontal="right"/>
    </xf>
    <xf numFmtId="3" fontId="1" fillId="3" borderId="0" xfId="0" applyNumberFormat="1" applyFont="1" applyFill="1"/>
    <xf numFmtId="165" fontId="26" fillId="2" borderId="0" xfId="2" applyNumberFormat="1" applyFont="1" applyFill="1" applyAlignment="1">
      <alignment horizontal="right"/>
    </xf>
    <xf numFmtId="0" fontId="1" fillId="3" borderId="1" xfId="0" applyFont="1" applyFill="1" applyBorder="1" applyAlignment="1">
      <alignment horizontal="left"/>
    </xf>
    <xf numFmtId="3" fontId="1" fillId="2" borderId="1" xfId="0" applyNumberFormat="1" applyFont="1" applyFill="1" applyBorder="1"/>
    <xf numFmtId="165" fontId="27" fillId="2" borderId="0" xfId="3" applyNumberFormat="1" applyFont="1" applyFill="1" applyBorder="1"/>
    <xf numFmtId="9" fontId="1" fillId="2" borderId="0" xfId="3" applyFont="1" applyFill="1" applyBorder="1"/>
    <xf numFmtId="165" fontId="1" fillId="2" borderId="0" xfId="2" applyNumberFormat="1" applyFont="1" applyFill="1" applyBorder="1"/>
    <xf numFmtId="165" fontId="1" fillId="2" borderId="0" xfId="3" applyNumberFormat="1" applyFont="1" applyFill="1" applyBorder="1"/>
    <xf numFmtId="166" fontId="1" fillId="2" borderId="0" xfId="3" applyNumberFormat="1" applyFont="1" applyFill="1" applyBorder="1"/>
    <xf numFmtId="167" fontId="1" fillId="2" borderId="0" xfId="2" applyNumberFormat="1" applyFont="1" applyFill="1" applyBorder="1"/>
    <xf numFmtId="0" fontId="21" fillId="9" borderId="4" xfId="0" applyFont="1" applyFill="1" applyBorder="1"/>
    <xf numFmtId="0" fontId="11" fillId="9" borderId="5" xfId="0" applyFont="1" applyFill="1" applyBorder="1"/>
    <xf numFmtId="3" fontId="1" fillId="9" borderId="5" xfId="0" applyNumberFormat="1" applyFont="1" applyFill="1" applyBorder="1"/>
    <xf numFmtId="0" fontId="1" fillId="9" borderId="5" xfId="0" applyFont="1" applyFill="1" applyBorder="1"/>
    <xf numFmtId="0" fontId="1" fillId="9" borderId="6" xfId="0" applyFont="1" applyFill="1" applyBorder="1"/>
    <xf numFmtId="0" fontId="21" fillId="9" borderId="7" xfId="0" applyFont="1" applyFill="1" applyBorder="1"/>
    <xf numFmtId="0" fontId="11" fillId="9" borderId="0" xfId="0" applyFont="1" applyFill="1"/>
    <xf numFmtId="3" fontId="1" fillId="9" borderId="0" xfId="0" applyNumberFormat="1" applyFont="1" applyFill="1"/>
    <xf numFmtId="0" fontId="1" fillId="9" borderId="0" xfId="0" applyFont="1" applyFill="1"/>
    <xf numFmtId="0" fontId="1" fillId="9" borderId="8" xfId="0" applyFont="1" applyFill="1" applyBorder="1"/>
    <xf numFmtId="165" fontId="1" fillId="2" borderId="0" xfId="0" applyNumberFormat="1" applyFont="1" applyFill="1"/>
    <xf numFmtId="0" fontId="0" fillId="2" borderId="0" xfId="0" applyFill="1" applyAlignment="1">
      <alignment vertical="center"/>
    </xf>
    <xf numFmtId="165" fontId="1" fillId="2" borderId="0" xfId="0" applyNumberFormat="1" applyFont="1" applyFill="1" applyAlignment="1">
      <alignment horizontal="left" vertical="center" wrapText="1"/>
    </xf>
    <xf numFmtId="165" fontId="1" fillId="2" borderId="0" xfId="0" applyNumberFormat="1" applyFont="1" applyFill="1" applyAlignment="1">
      <alignment vertical="center"/>
    </xf>
    <xf numFmtId="0" fontId="1" fillId="2" borderId="0" xfId="0" applyFont="1" applyFill="1" applyAlignment="1">
      <alignment vertical="center"/>
    </xf>
    <xf numFmtId="0" fontId="1" fillId="2" borderId="0" xfId="0" applyFont="1" applyFill="1" applyAlignment="1">
      <alignment horizontal="left" vertical="center" wrapText="1"/>
    </xf>
    <xf numFmtId="4" fontId="1" fillId="2" borderId="0" xfId="0" applyNumberFormat="1" applyFont="1" applyFill="1" applyAlignment="1">
      <alignment vertical="center"/>
    </xf>
    <xf numFmtId="166" fontId="1" fillId="2" borderId="0" xfId="3" applyNumberFormat="1" applyFont="1" applyFill="1" applyAlignment="1">
      <alignment vertical="center"/>
    </xf>
    <xf numFmtId="166" fontId="0" fillId="0" borderId="0" xfId="3" applyNumberFormat="1" applyFont="1"/>
    <xf numFmtId="0" fontId="20" fillId="0" borderId="4" xfId="0" applyFont="1" applyBorder="1"/>
    <xf numFmtId="0" fontId="0" fillId="0" borderId="5" xfId="0" applyBorder="1"/>
    <xf numFmtId="43" fontId="0" fillId="0" borderId="5" xfId="0" applyNumberFormat="1" applyBorder="1"/>
    <xf numFmtId="0" fontId="0" fillId="0" borderId="6" xfId="0" applyBorder="1"/>
    <xf numFmtId="0" fontId="0" fillId="0" borderId="7" xfId="0" applyBorder="1"/>
    <xf numFmtId="43" fontId="0" fillId="0" borderId="0" xfId="0" applyNumberFormat="1"/>
    <xf numFmtId="9" fontId="0" fillId="0" borderId="0" xfId="3" applyFont="1" applyBorder="1"/>
    <xf numFmtId="0" fontId="0" fillId="0" borderId="8" xfId="0" applyBorder="1"/>
    <xf numFmtId="0" fontId="20" fillId="0" borderId="1" xfId="0" applyFont="1" applyBorder="1"/>
    <xf numFmtId="1" fontId="0" fillId="0" borderId="0" xfId="0" applyNumberFormat="1"/>
    <xf numFmtId="0" fontId="28" fillId="0" borderId="8" xfId="0" applyFont="1" applyBorder="1"/>
    <xf numFmtId="1" fontId="0" fillId="0" borderId="11" xfId="0" applyNumberFormat="1" applyBorder="1"/>
    <xf numFmtId="0" fontId="20" fillId="0" borderId="0" xfId="0" applyFont="1" applyAlignment="1">
      <alignment horizontal="right"/>
    </xf>
    <xf numFmtId="1" fontId="20" fillId="0" borderId="0" xfId="0" applyNumberFormat="1" applyFont="1"/>
    <xf numFmtId="0" fontId="29" fillId="0" borderId="0" xfId="0" applyFont="1" applyAlignment="1">
      <alignment horizontal="right"/>
    </xf>
    <xf numFmtId="166" fontId="20" fillId="0" borderId="0" xfId="3" applyNumberFormat="1" applyFont="1" applyBorder="1"/>
    <xf numFmtId="0" fontId="29" fillId="0" borderId="7" xfId="0" applyFont="1" applyBorder="1"/>
    <xf numFmtId="0" fontId="30" fillId="0" borderId="0" xfId="0" applyFont="1" applyAlignment="1">
      <alignment horizontal="right"/>
    </xf>
    <xf numFmtId="10" fontId="30" fillId="0" borderId="0" xfId="3" applyNumberFormat="1" applyFont="1" applyBorder="1"/>
    <xf numFmtId="165" fontId="0" fillId="0" borderId="0" xfId="2" applyNumberFormat="1" applyFont="1" applyBorder="1"/>
    <xf numFmtId="168" fontId="0" fillId="0" borderId="0" xfId="3" applyNumberFormat="1" applyFont="1" applyBorder="1"/>
    <xf numFmtId="169" fontId="0" fillId="0" borderId="0" xfId="3" applyNumberFormat="1" applyFont="1" applyBorder="1"/>
    <xf numFmtId="164" fontId="0" fillId="0" borderId="0" xfId="0" applyNumberFormat="1"/>
    <xf numFmtId="0" fontId="3" fillId="0" borderId="9" xfId="1" applyBorder="1"/>
    <xf numFmtId="0" fontId="0" fillId="0" borderId="1" xfId="0" applyBorder="1"/>
    <xf numFmtId="0" fontId="0" fillId="0" borderId="10" xfId="0" applyBorder="1"/>
    <xf numFmtId="0" fontId="29" fillId="0" borderId="0" xfId="0" applyFont="1"/>
    <xf numFmtId="0" fontId="20" fillId="0" borderId="0" xfId="0" applyFont="1"/>
    <xf numFmtId="165" fontId="0" fillId="0" borderId="0" xfId="0" applyNumberFormat="1"/>
    <xf numFmtId="3" fontId="0" fillId="0" borderId="0" xfId="0" applyNumberFormat="1"/>
    <xf numFmtId="165" fontId="0" fillId="0" borderId="0" xfId="2" applyNumberFormat="1" applyFont="1"/>
    <xf numFmtId="0" fontId="3" fillId="2" borderId="0" xfId="1" applyFill="1"/>
    <xf numFmtId="0" fontId="33" fillId="2" borderId="0" xfId="0" applyFont="1" applyFill="1"/>
    <xf numFmtId="0" fontId="1" fillId="3" borderId="0" xfId="0" applyFont="1" applyFill="1" applyBorder="1" applyAlignment="1">
      <alignment horizontal="left"/>
    </xf>
    <xf numFmtId="3" fontId="1" fillId="2" borderId="0" xfId="0" applyNumberFormat="1" applyFont="1" applyFill="1" applyBorder="1"/>
    <xf numFmtId="0" fontId="1" fillId="3" borderId="0" xfId="0" applyFont="1" applyFill="1" applyBorder="1"/>
    <xf numFmtId="10" fontId="1" fillId="2" borderId="0" xfId="0" applyNumberFormat="1" applyFont="1" applyFill="1"/>
    <xf numFmtId="166" fontId="1" fillId="2" borderId="0" xfId="3" applyNumberFormat="1" applyFont="1" applyFill="1"/>
    <xf numFmtId="1" fontId="1" fillId="2" borderId="0" xfId="0" applyNumberFormat="1" applyFont="1" applyFill="1"/>
    <xf numFmtId="166" fontId="22" fillId="3" borderId="3" xfId="3" applyNumberFormat="1" applyFont="1" applyFill="1" applyBorder="1"/>
    <xf numFmtId="49" fontId="0" fillId="2" borderId="0" xfId="0" applyNumberFormat="1" applyFill="1" applyAlignment="1">
      <alignment horizontal="right"/>
    </xf>
    <xf numFmtId="0" fontId="2" fillId="4" borderId="1" xfId="0" applyFont="1" applyFill="1" applyBorder="1" applyAlignment="1">
      <alignment horizontal="left"/>
    </xf>
    <xf numFmtId="0" fontId="1" fillId="4" borderId="1" xfId="0" applyFont="1" applyFill="1" applyBorder="1"/>
    <xf numFmtId="0" fontId="8" fillId="2" borderId="0" xfId="0" applyFont="1" applyFill="1" applyAlignment="1">
      <alignment horizontal="left" vertical="top" wrapText="1"/>
    </xf>
    <xf numFmtId="0" fontId="15" fillId="4" borderId="0" xfId="0" applyFont="1" applyFill="1" applyBorder="1" applyAlignment="1">
      <alignment horizontal="left"/>
    </xf>
    <xf numFmtId="0" fontId="1" fillId="9" borderId="9"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10" xfId="0" applyFont="1" applyFill="1" applyBorder="1" applyAlignment="1">
      <alignment horizontal="left" vertical="center" wrapText="1"/>
    </xf>
    <xf numFmtId="0" fontId="0" fillId="0" borderId="7" xfId="0" applyBorder="1" applyAlignment="1">
      <alignment horizontal="right"/>
    </xf>
    <xf numFmtId="0" fontId="0" fillId="0" borderId="0" xfId="0" applyAlignment="1">
      <alignment horizontal="right"/>
    </xf>
    <xf numFmtId="0" fontId="14" fillId="2" borderId="0" xfId="1" applyFont="1" applyFill="1" applyAlignment="1">
      <alignment horizontal="left"/>
    </xf>
    <xf numFmtId="0" fontId="23" fillId="2" borderId="0" xfId="0" applyFont="1" applyFill="1" applyAlignment="1">
      <alignment horizontal="center" wrapText="1"/>
    </xf>
    <xf numFmtId="0" fontId="23" fillId="2" borderId="1" xfId="0" applyFont="1" applyFill="1" applyBorder="1" applyAlignment="1">
      <alignment horizontal="center" wrapText="1"/>
    </xf>
    <xf numFmtId="0" fontId="1" fillId="9" borderId="7" xfId="0" applyFont="1" applyFill="1" applyBorder="1" applyAlignment="1">
      <alignment horizontal="left" vertical="center" wrapText="1"/>
    </xf>
    <xf numFmtId="0" fontId="1" fillId="9" borderId="0" xfId="0" applyFont="1" applyFill="1" applyAlignment="1">
      <alignment horizontal="left" vertical="center" wrapText="1"/>
    </xf>
    <xf numFmtId="0" fontId="1" fillId="9" borderId="8" xfId="0" applyFont="1" applyFill="1" applyBorder="1" applyAlignment="1">
      <alignment horizontal="left" vertical="center" wrapText="1"/>
    </xf>
    <xf numFmtId="0" fontId="35" fillId="2" borderId="0" xfId="0" applyFont="1" applyFill="1" applyAlignment="1">
      <alignment horizontal="center"/>
    </xf>
    <xf numFmtId="0" fontId="17" fillId="2" borderId="0" xfId="0" applyFont="1" applyFill="1" applyAlignment="1">
      <alignment horizontal="left" wrapText="1"/>
    </xf>
    <xf numFmtId="0" fontId="17" fillId="2" borderId="0" xfId="0" applyFont="1" applyFill="1" applyAlignment="1">
      <alignment horizontal="left" vertical="center" wrapText="1"/>
    </xf>
    <xf numFmtId="0" fontId="17" fillId="2" borderId="0" xfId="0" applyFont="1" applyFill="1" applyAlignment="1">
      <alignment horizontal="left" vertical="center" wrapText="1"/>
    </xf>
    <xf numFmtId="0" fontId="3" fillId="2" borderId="0" xfId="1" applyFill="1" applyAlignment="1"/>
  </cellXfs>
  <cellStyles count="4">
    <cellStyle name="Atalnod" xfId="2" builtinId="3"/>
    <cellStyle name="Canran" xfId="3" builtinId="5"/>
    <cellStyle name="Hyperddolen" xfId="1" builtinId="8"/>
    <cellStyle name="Normal" xfId="0" builtinId="0"/>
  </cellStyles>
  <dxfs count="1">
    <dxf>
      <font>
        <color rgb="FFCE0538"/>
      </font>
    </dxf>
  </dxfs>
  <tableStyles count="0" defaultTableStyle="TableStyleMedium2" defaultPivotStyle="PivotStyleLight16"/>
  <colors>
    <mruColors>
      <color rgb="FFCE0538"/>
      <color rgb="FFFECEDB"/>
      <color rgb="FF37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122250</xdr:colOff>
      <xdr:row>0</xdr:row>
      <xdr:rowOff>125566</xdr:rowOff>
    </xdr:from>
    <xdr:to>
      <xdr:col>9</xdr:col>
      <xdr:colOff>611162</xdr:colOff>
      <xdr:row>3</xdr:row>
      <xdr:rowOff>55329</xdr:rowOff>
    </xdr:to>
    <xdr:pic>
      <xdr:nvPicPr>
        <xdr:cNvPr id="3" name="Llun 2">
          <a:extLst>
            <a:ext uri="{FF2B5EF4-FFF2-40B4-BE49-F238E27FC236}">
              <a16:creationId xmlns:a16="http://schemas.microsoft.com/office/drawing/2014/main" id="{B75DB886-047C-426D-A111-5FF7B12A17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03641" y="125566"/>
          <a:ext cx="1231034" cy="512859"/>
        </a:xfrm>
        <a:prstGeom prst="rect">
          <a:avLst/>
        </a:prstGeom>
      </xdr:spPr>
    </xdr:pic>
    <xdr:clientData/>
  </xdr:twoCellAnchor>
  <xdr:twoCellAnchor editAs="oneCell">
    <xdr:from>
      <xdr:col>7</xdr:col>
      <xdr:colOff>6831</xdr:colOff>
      <xdr:row>6</xdr:row>
      <xdr:rowOff>28069</xdr:rowOff>
    </xdr:from>
    <xdr:to>
      <xdr:col>9</xdr:col>
      <xdr:colOff>44231</xdr:colOff>
      <xdr:row>20</xdr:row>
      <xdr:rowOff>44579</xdr:rowOff>
    </xdr:to>
    <xdr:pic>
      <xdr:nvPicPr>
        <xdr:cNvPr id="5" name="Llun 4">
          <a:extLst>
            <a:ext uri="{FF2B5EF4-FFF2-40B4-BE49-F238E27FC236}">
              <a16:creationId xmlns:a16="http://schemas.microsoft.com/office/drawing/2014/main" id="{869F6313-E2D0-4253-9BE0-185B0EB98834}"/>
            </a:ext>
          </a:extLst>
        </xdr:cNvPr>
        <xdr:cNvPicPr/>
      </xdr:nvPicPr>
      <xdr:blipFill rotWithShape="1">
        <a:blip xmlns:r="http://schemas.openxmlformats.org/officeDocument/2006/relationships" r:embed="rId2"/>
        <a:srcRect l="6660" t="17260" r="65262" b="11865"/>
        <a:stretch/>
      </xdr:blipFill>
      <xdr:spPr bwMode="auto">
        <a:xfrm>
          <a:off x="7746101" y="1181008"/>
          <a:ext cx="1521643" cy="2150110"/>
        </a:xfrm>
        <a:prstGeom prst="rect">
          <a:avLst/>
        </a:prstGeom>
        <a:ln>
          <a:solidFill>
            <a:schemeClr val="bg2"/>
          </a:solid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6485</xdr:colOff>
      <xdr:row>0</xdr:row>
      <xdr:rowOff>68092</xdr:rowOff>
    </xdr:from>
    <xdr:to>
      <xdr:col>8</xdr:col>
      <xdr:colOff>457200</xdr:colOff>
      <xdr:row>1</xdr:row>
      <xdr:rowOff>146532</xdr:rowOff>
    </xdr:to>
    <xdr:sp macro="" textlink="">
      <xdr:nvSpPr>
        <xdr:cNvPr id="2" name="Saeth: Cam i Fyny 1">
          <a:extLst>
            <a:ext uri="{FF2B5EF4-FFF2-40B4-BE49-F238E27FC236}">
              <a16:creationId xmlns:a16="http://schemas.microsoft.com/office/drawing/2014/main" id="{C1254852-69ED-47E5-A9C3-52A4466ED221}"/>
            </a:ext>
          </a:extLst>
        </xdr:cNvPr>
        <xdr:cNvSpPr/>
      </xdr:nvSpPr>
      <xdr:spPr>
        <a:xfrm flipV="1">
          <a:off x="7642698" y="68092"/>
          <a:ext cx="1190017" cy="260023"/>
        </a:xfrm>
        <a:prstGeom prst="bentUpArrow">
          <a:avLst/>
        </a:prstGeom>
        <a:solidFill>
          <a:srgbClr val="CE0538"/>
        </a:solidFill>
        <a:ln>
          <a:solidFill>
            <a:srgbClr val="CE0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Them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ardiff.ac.uk/wales-governance-centre/publications/finance" TargetMode="External"/><Relationship Id="rId1" Type="http://schemas.openxmlformats.org/officeDocument/2006/relationships/hyperlink" Target="mailto:SionC1@cardiff.ac.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ov.wales/council-tax-reduction-scheme-and-covid-19-wales-interim-finding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gov.wales/council-tax-reduction-scheme-and-covid-19-wales-interim-finding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gov.wales/council-tax-reduction-scheme-and-covid-19-wales-interim-finding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gov.wales/council-tax-reduction-scheme-and-covid-19-wales-interim-finding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17C24-66F5-47B2-A107-80B1FEB4D07E}">
  <sheetPr>
    <tabColor rgb="FFCE0538"/>
    <pageSetUpPr fitToPage="1"/>
  </sheetPr>
  <dimension ref="A1:J83"/>
  <sheetViews>
    <sheetView tabSelected="1" topLeftCell="A3" zoomScaleNormal="100" workbookViewId="0">
      <selection activeCell="E27" sqref="E27"/>
    </sheetView>
  </sheetViews>
  <sheetFormatPr defaultColWidth="0" defaultRowHeight="14.4" zeroHeight="1" x14ac:dyDescent="0.3"/>
  <cols>
    <col min="1" max="1" width="10.77734375" customWidth="1"/>
    <col min="2" max="2" width="47.88671875" customWidth="1"/>
    <col min="3" max="10" width="10.77734375" customWidth="1"/>
    <col min="11" max="16384" width="8.88671875" hidden="1"/>
  </cols>
  <sheetData>
    <row r="1" spans="1:10" s="6" customFormat="1" ht="14.4" customHeight="1" x14ac:dyDescent="0.3">
      <c r="A1" s="70"/>
      <c r="B1" s="180" t="s">
        <v>203</v>
      </c>
      <c r="C1" s="180"/>
      <c r="D1" s="180"/>
      <c r="E1" s="180"/>
      <c r="F1" s="180"/>
      <c r="G1" s="71"/>
      <c r="H1" s="70"/>
      <c r="I1" s="70"/>
      <c r="J1" s="70"/>
    </row>
    <row r="2" spans="1:10" s="6" customFormat="1" ht="15.6" customHeight="1" x14ac:dyDescent="0.3">
      <c r="A2" s="70"/>
      <c r="B2" s="180"/>
      <c r="C2" s="180"/>
      <c r="D2" s="180"/>
      <c r="E2" s="180"/>
      <c r="F2" s="180"/>
      <c r="G2" s="71"/>
      <c r="H2" s="70"/>
      <c r="I2" s="70"/>
      <c r="J2" s="70"/>
    </row>
    <row r="3" spans="1:10" s="7" customFormat="1" ht="15.6" customHeight="1" x14ac:dyDescent="0.3">
      <c r="A3" s="70"/>
      <c r="B3" s="72" t="s">
        <v>204</v>
      </c>
      <c r="C3" s="72"/>
      <c r="D3" s="72"/>
      <c r="E3" s="72"/>
      <c r="F3" s="71"/>
      <c r="G3" s="71"/>
      <c r="H3" s="70"/>
      <c r="I3" s="70"/>
      <c r="J3" s="70"/>
    </row>
    <row r="4" spans="1:10" ht="15.6" customHeight="1" x14ac:dyDescent="0.3">
      <c r="A4" s="7"/>
      <c r="B4" s="177"/>
      <c r="C4" s="177"/>
      <c r="D4" s="177"/>
      <c r="E4" s="177"/>
      <c r="F4" s="178"/>
      <c r="G4" s="178"/>
      <c r="H4" s="7"/>
      <c r="I4" s="7"/>
      <c r="J4" s="7"/>
    </row>
    <row r="5" spans="1:10" x14ac:dyDescent="0.3">
      <c r="A5" s="1"/>
      <c r="B5" s="3"/>
      <c r="C5" s="3"/>
      <c r="D5" s="3"/>
      <c r="E5" s="3"/>
      <c r="F5" s="1"/>
      <c r="G5" s="1"/>
      <c r="H5" s="2"/>
      <c r="I5" s="176"/>
    </row>
    <row r="6" spans="1:10" x14ac:dyDescent="0.3">
      <c r="A6" s="3"/>
      <c r="B6" s="75" t="s">
        <v>2</v>
      </c>
      <c r="C6" s="2"/>
      <c r="D6" s="2"/>
      <c r="E6" s="2"/>
      <c r="F6" s="1"/>
      <c r="G6" s="2"/>
      <c r="H6" s="2"/>
      <c r="I6" s="2"/>
      <c r="J6" s="2"/>
    </row>
    <row r="7" spans="1:10" s="2" customFormat="1" ht="12" customHeight="1" x14ac:dyDescent="0.3">
      <c r="A7" s="3"/>
      <c r="B7" s="3"/>
      <c r="C7" s="3"/>
      <c r="D7" s="3"/>
    </row>
    <row r="8" spans="1:10" s="2" customFormat="1" ht="12" customHeight="1" x14ac:dyDescent="0.3">
      <c r="A8" s="73">
        <v>1</v>
      </c>
      <c r="B8" s="8" t="s">
        <v>8</v>
      </c>
      <c r="C8" s="9"/>
      <c r="D8" s="1"/>
    </row>
    <row r="9" spans="1:10" s="2" customFormat="1" ht="12" customHeight="1" x14ac:dyDescent="0.3">
      <c r="A9" s="74">
        <v>1.1000000000000001</v>
      </c>
      <c r="B9" s="62" t="s">
        <v>86</v>
      </c>
      <c r="D9" s="1"/>
    </row>
    <row r="10" spans="1:10" s="2" customFormat="1" ht="12" customHeight="1" x14ac:dyDescent="0.3">
      <c r="A10" s="74"/>
      <c r="B10" s="8"/>
      <c r="C10" s="9"/>
      <c r="D10" s="1"/>
    </row>
    <row r="11" spans="1:10" s="2" customFormat="1" ht="12" customHeight="1" x14ac:dyDescent="0.3">
      <c r="A11" s="74"/>
      <c r="B11" s="4"/>
      <c r="C11" s="10"/>
      <c r="D11" s="1"/>
    </row>
    <row r="12" spans="1:10" s="2" customFormat="1" ht="12" customHeight="1" x14ac:dyDescent="0.3">
      <c r="A12" s="73">
        <v>2</v>
      </c>
      <c r="B12" s="8" t="s">
        <v>0</v>
      </c>
      <c r="C12" s="9"/>
      <c r="D12" s="1"/>
    </row>
    <row r="13" spans="1:10" s="2" customFormat="1" ht="12" customHeight="1" x14ac:dyDescent="0.3">
      <c r="A13" s="74">
        <v>2.1</v>
      </c>
      <c r="B13" s="62" t="s">
        <v>3</v>
      </c>
      <c r="C13" s="41"/>
      <c r="D13" s="1"/>
    </row>
    <row r="14" spans="1:10" s="2" customFormat="1" ht="12" customHeight="1" x14ac:dyDescent="0.3">
      <c r="A14" s="74">
        <v>2.2000000000000002</v>
      </c>
      <c r="B14" s="62" t="s">
        <v>4</v>
      </c>
      <c r="C14" s="41"/>
      <c r="D14" s="1"/>
    </row>
    <row r="15" spans="1:10" s="2" customFormat="1" ht="12" customHeight="1" x14ac:dyDescent="0.3">
      <c r="A15" s="74">
        <v>2.2999999999999998</v>
      </c>
      <c r="B15" s="62" t="s">
        <v>5</v>
      </c>
      <c r="C15" s="41"/>
      <c r="D15" s="1"/>
    </row>
    <row r="16" spans="1:10" s="2" customFormat="1" ht="12" customHeight="1" x14ac:dyDescent="0.3">
      <c r="A16" s="3"/>
      <c r="B16" s="4"/>
      <c r="C16" s="10"/>
      <c r="D16" s="1"/>
    </row>
    <row r="17" spans="1:9" s="2" customFormat="1" ht="12" customHeight="1" x14ac:dyDescent="0.3">
      <c r="A17" s="4"/>
      <c r="B17" s="4"/>
      <c r="C17" s="10"/>
      <c r="D17" s="1"/>
    </row>
    <row r="18" spans="1:9" s="2" customFormat="1" ht="12" customHeight="1" x14ac:dyDescent="0.3">
      <c r="A18" s="73">
        <v>3</v>
      </c>
      <c r="B18" s="8" t="s">
        <v>1</v>
      </c>
      <c r="C18" s="9"/>
      <c r="D18" s="1"/>
    </row>
    <row r="19" spans="1:9" s="2" customFormat="1" ht="12" customHeight="1" x14ac:dyDescent="0.3">
      <c r="A19" s="74">
        <v>3.1</v>
      </c>
      <c r="B19" s="62" t="s">
        <v>7</v>
      </c>
      <c r="C19" s="10"/>
      <c r="D19" s="1"/>
    </row>
    <row r="20" spans="1:9" s="2" customFormat="1" ht="12" customHeight="1" x14ac:dyDescent="0.3">
      <c r="A20" s="74">
        <v>3.2</v>
      </c>
      <c r="B20" s="62" t="s">
        <v>6</v>
      </c>
      <c r="C20" s="10"/>
      <c r="D20" s="1"/>
    </row>
    <row r="21" spans="1:9" s="2" customFormat="1" ht="12" customHeight="1" x14ac:dyDescent="0.3">
      <c r="A21" s="74">
        <v>3.3</v>
      </c>
      <c r="B21" s="62" t="s">
        <v>188</v>
      </c>
      <c r="C21" s="10"/>
      <c r="D21" s="1"/>
    </row>
    <row r="22" spans="1:9" s="2" customFormat="1" ht="12" customHeight="1" x14ac:dyDescent="0.3">
      <c r="A22" s="74">
        <v>3.4</v>
      </c>
      <c r="B22" s="62" t="s">
        <v>189</v>
      </c>
      <c r="C22" s="10"/>
      <c r="D22" s="1"/>
      <c r="H22" s="196" t="s">
        <v>196</v>
      </c>
      <c r="I22" s="196"/>
    </row>
    <row r="23" spans="1:9" s="2" customFormat="1" ht="12" customHeight="1" x14ac:dyDescent="0.3">
      <c r="A23" s="1"/>
      <c r="B23" s="12"/>
      <c r="C23" s="9"/>
      <c r="D23" s="1"/>
    </row>
    <row r="24" spans="1:9" s="2" customFormat="1" ht="12" customHeight="1" x14ac:dyDescent="0.3">
      <c r="A24" s="1"/>
      <c r="B24" s="10"/>
      <c r="C24" s="10"/>
      <c r="D24" s="1"/>
    </row>
    <row r="25" spans="1:9" s="2" customFormat="1" ht="12" customHeight="1" x14ac:dyDescent="0.3">
      <c r="A25" s="1"/>
      <c r="B25" s="168"/>
      <c r="C25" s="10"/>
      <c r="D25" s="1"/>
    </row>
    <row r="26" spans="1:9" s="2" customFormat="1" ht="12" customHeight="1" x14ac:dyDescent="0.3">
      <c r="A26" s="1"/>
      <c r="B26" s="10"/>
      <c r="C26" s="10"/>
      <c r="D26" s="1"/>
    </row>
    <row r="27" spans="1:9" s="2" customFormat="1" ht="12" customHeight="1" x14ac:dyDescent="0.3">
      <c r="A27" s="1"/>
      <c r="B27" s="10"/>
      <c r="C27" s="10"/>
      <c r="D27" s="1"/>
    </row>
    <row r="28" spans="1:9" s="2" customFormat="1" ht="12" customHeight="1" x14ac:dyDescent="0.3">
      <c r="B28" s="75" t="s">
        <v>190</v>
      </c>
      <c r="C28" s="10"/>
      <c r="D28" s="1"/>
    </row>
    <row r="29" spans="1:9" s="2" customFormat="1" ht="12" customHeight="1" x14ac:dyDescent="0.3">
      <c r="B29" s="10"/>
      <c r="C29" s="10"/>
      <c r="D29" s="1"/>
    </row>
    <row r="30" spans="1:9" s="2" customFormat="1" ht="12" customHeight="1" x14ac:dyDescent="0.3">
      <c r="B30" s="179" t="s">
        <v>191</v>
      </c>
      <c r="C30" s="179"/>
      <c r="D30" s="179"/>
      <c r="E30" s="179"/>
      <c r="F30" s="179"/>
      <c r="G30" s="179"/>
      <c r="H30" s="179"/>
    </row>
    <row r="31" spans="1:9" s="2" customFormat="1" ht="12" customHeight="1" x14ac:dyDescent="0.3">
      <c r="B31" s="179"/>
      <c r="C31" s="179"/>
      <c r="D31" s="179"/>
      <c r="E31" s="179"/>
      <c r="F31" s="179"/>
      <c r="G31" s="179"/>
      <c r="H31" s="179"/>
    </row>
    <row r="32" spans="1:9" s="2" customFormat="1" ht="7.95" customHeight="1" x14ac:dyDescent="0.3">
      <c r="B32" s="179"/>
      <c r="C32" s="179"/>
      <c r="D32" s="179"/>
      <c r="E32" s="179"/>
      <c r="F32" s="179"/>
      <c r="G32" s="179"/>
      <c r="H32" s="179"/>
    </row>
    <row r="33" spans="2:10" s="2" customFormat="1" ht="12" customHeight="1" x14ac:dyDescent="0.3">
      <c r="B33" s="179" t="s">
        <v>192</v>
      </c>
      <c r="C33" s="179"/>
      <c r="D33" s="179"/>
      <c r="E33" s="179"/>
      <c r="F33" s="179"/>
      <c r="G33" s="179"/>
      <c r="H33" s="179"/>
    </row>
    <row r="34" spans="2:10" s="2" customFormat="1" ht="12" customHeight="1" x14ac:dyDescent="0.3">
      <c r="B34" s="179"/>
      <c r="C34" s="179"/>
      <c r="D34" s="179"/>
      <c r="E34" s="179"/>
      <c r="F34" s="179"/>
      <c r="G34" s="179"/>
      <c r="H34" s="179"/>
    </row>
    <row r="35" spans="2:10" s="2" customFormat="1" ht="12" customHeight="1" x14ac:dyDescent="0.3">
      <c r="B35" s="179"/>
      <c r="C35" s="179"/>
      <c r="D35" s="179"/>
      <c r="E35" s="179"/>
      <c r="F35" s="179"/>
      <c r="G35" s="179"/>
      <c r="H35" s="179"/>
    </row>
    <row r="36" spans="2:10" s="2" customFormat="1" ht="12" customHeight="1" x14ac:dyDescent="0.3">
      <c r="B36" s="179"/>
      <c r="C36" s="179"/>
      <c r="D36" s="179"/>
      <c r="E36" s="179"/>
      <c r="F36" s="179"/>
      <c r="G36" s="179"/>
      <c r="H36" s="179"/>
    </row>
    <row r="37" spans="2:10" s="2" customFormat="1" ht="7.95" customHeight="1" x14ac:dyDescent="0.3"/>
    <row r="38" spans="2:10" s="2" customFormat="1" ht="12" customHeight="1" x14ac:dyDescent="0.3">
      <c r="B38" s="179" t="s">
        <v>193</v>
      </c>
      <c r="C38" s="179"/>
      <c r="D38" s="179"/>
      <c r="E38" s="179"/>
      <c r="F38" s="179"/>
      <c r="G38" s="179"/>
      <c r="H38" s="179"/>
    </row>
    <row r="39" spans="2:10" s="2" customFormat="1" ht="12" customHeight="1" x14ac:dyDescent="0.3">
      <c r="B39" s="179"/>
      <c r="C39" s="179"/>
      <c r="D39" s="179"/>
      <c r="E39" s="179"/>
      <c r="F39" s="179"/>
      <c r="G39" s="179"/>
      <c r="H39" s="179"/>
    </row>
    <row r="40" spans="2:10" s="2" customFormat="1" ht="12" customHeight="1" x14ac:dyDescent="0.3"/>
    <row r="41" spans="2:10" s="2" customFormat="1" ht="12" customHeight="1" x14ac:dyDescent="0.3">
      <c r="B41" s="11"/>
      <c r="C41" s="10"/>
    </row>
    <row r="42" spans="2:10" s="2" customFormat="1" ht="12" customHeight="1" x14ac:dyDescent="0.3">
      <c r="B42" s="75" t="s">
        <v>197</v>
      </c>
      <c r="C42" s="10"/>
      <c r="D42" s="1"/>
    </row>
    <row r="43" spans="2:10" s="2" customFormat="1" ht="12" customHeight="1" x14ac:dyDescent="0.3">
      <c r="B43" s="10"/>
      <c r="C43" s="10"/>
      <c r="D43" s="1"/>
    </row>
    <row r="44" spans="2:10" s="2" customFormat="1" x14ac:dyDescent="0.3">
      <c r="B44" s="179" t="s">
        <v>194</v>
      </c>
      <c r="C44" s="179"/>
      <c r="D44" s="179"/>
      <c r="E44" s="179"/>
      <c r="F44" s="179"/>
      <c r="G44" s="179"/>
      <c r="H44" s="179"/>
    </row>
    <row r="45" spans="2:10" x14ac:dyDescent="0.3">
      <c r="B45" s="179"/>
      <c r="C45" s="179"/>
      <c r="D45" s="179"/>
      <c r="E45" s="179"/>
      <c r="F45" s="179"/>
      <c r="G45" s="179"/>
      <c r="H45" s="179"/>
      <c r="I45" s="2"/>
      <c r="J45" s="2"/>
    </row>
    <row r="46" spans="2:10" s="2" customFormat="1" x14ac:dyDescent="0.3">
      <c r="B46" s="179"/>
      <c r="C46" s="179"/>
      <c r="D46" s="179"/>
      <c r="E46" s="179"/>
      <c r="F46" s="179"/>
      <c r="G46" s="179"/>
      <c r="H46" s="179"/>
    </row>
    <row r="47" spans="2:10" s="2" customFormat="1" x14ac:dyDescent="0.3">
      <c r="B47" s="62" t="s">
        <v>195</v>
      </c>
    </row>
    <row r="48" spans="2:10" s="2" customFormat="1" x14ac:dyDescent="0.3">
      <c r="B48" s="167"/>
    </row>
    <row r="49" s="2" customFormat="1" x14ac:dyDescent="0.3"/>
    <row r="50" s="2" customFormat="1" hidden="1" x14ac:dyDescent="0.3"/>
    <row r="51" s="2" customFormat="1" hidden="1" x14ac:dyDescent="0.3"/>
    <row r="52" s="2" customFormat="1" hidden="1" x14ac:dyDescent="0.3"/>
    <row r="53" s="2" customFormat="1" hidden="1" x14ac:dyDescent="0.3"/>
    <row r="54" s="2" customFormat="1" hidden="1" x14ac:dyDescent="0.3"/>
    <row r="55" s="2" customFormat="1" hidden="1" x14ac:dyDescent="0.3"/>
    <row r="56" s="2" customFormat="1" hidden="1" x14ac:dyDescent="0.3"/>
    <row r="57" s="2" customFormat="1" hidden="1" x14ac:dyDescent="0.3"/>
    <row r="58" s="2" customFormat="1" hidden="1" x14ac:dyDescent="0.3"/>
    <row r="59" s="2" customFormat="1" hidden="1" x14ac:dyDescent="0.3"/>
    <row r="60" s="2" customFormat="1" hidden="1" x14ac:dyDescent="0.3"/>
    <row r="61" s="2" customFormat="1" hidden="1" x14ac:dyDescent="0.3"/>
    <row r="62" s="2" customFormat="1" hidden="1" x14ac:dyDescent="0.3"/>
    <row r="63" s="2" customFormat="1" hidden="1" x14ac:dyDescent="0.3"/>
    <row r="64" s="2" customFormat="1" hidden="1" x14ac:dyDescent="0.3"/>
    <row r="65" s="2" customFormat="1" hidden="1" x14ac:dyDescent="0.3"/>
    <row r="66" s="2" customFormat="1" hidden="1" x14ac:dyDescent="0.3"/>
    <row r="67" s="2" customFormat="1" hidden="1" x14ac:dyDescent="0.3"/>
    <row r="68" s="2" customFormat="1" hidden="1" x14ac:dyDescent="0.3"/>
    <row r="69" s="2" customFormat="1" hidden="1" x14ac:dyDescent="0.3"/>
    <row r="70" s="2" customFormat="1" hidden="1" x14ac:dyDescent="0.3"/>
    <row r="71" s="2" customFormat="1" hidden="1" x14ac:dyDescent="0.3"/>
    <row r="72" s="2" customFormat="1" hidden="1" x14ac:dyDescent="0.3"/>
    <row r="73" s="2" customFormat="1" hidden="1" x14ac:dyDescent="0.3"/>
    <row r="74" s="2" customFormat="1" hidden="1" x14ac:dyDescent="0.3"/>
    <row r="75" s="2" customFormat="1" hidden="1" x14ac:dyDescent="0.3"/>
    <row r="76" s="2" customFormat="1" hidden="1" x14ac:dyDescent="0.3"/>
    <row r="77" s="2" customFormat="1" hidden="1" x14ac:dyDescent="0.3"/>
    <row r="78" s="2" customFormat="1" hidden="1" x14ac:dyDescent="0.3"/>
    <row r="79" s="2" customFormat="1" hidden="1" x14ac:dyDescent="0.3"/>
    <row r="80" s="2" customFormat="1" hidden="1" x14ac:dyDescent="0.3"/>
    <row r="81" s="2" customFormat="1" hidden="1" x14ac:dyDescent="0.3"/>
    <row r="82" s="2" customFormat="1" hidden="1" x14ac:dyDescent="0.3"/>
    <row r="83" s="2" customFormat="1" hidden="1" x14ac:dyDescent="0.3"/>
  </sheetData>
  <mergeCells count="5">
    <mergeCell ref="B44:H46"/>
    <mergeCell ref="B1:F2"/>
    <mergeCell ref="B30:H32"/>
    <mergeCell ref="B33:H36"/>
    <mergeCell ref="B38:H39"/>
  </mergeCells>
  <hyperlinks>
    <hyperlink ref="B13:C13" location="'2.1'!A1" display="'2.1'!A1" xr:uid="{A588E4E0-FCD7-48D4-B380-D064BB043BA0}"/>
    <hyperlink ref="B14:C14" location="'2.2'!A1" display="'2.2'!A1" xr:uid="{6C7B81E8-125F-4765-A636-CBC621A26E73}"/>
    <hyperlink ref="B15:C15" location="'2.3'!A1" display="'2.3'!A1" xr:uid="{D84DAC70-A0E2-47A8-BE8F-385465460BF7}"/>
    <hyperlink ref="B19" location="'3.1'!A1" display="Current spending plans" xr:uid="{3043F287-3FCD-4AE3-B50F-08AAA22FF79B}"/>
    <hyperlink ref="B20" location="'3.2'!A1" display="Pre-COVID spending plans" xr:uid="{3E5D009E-6452-41D9-855C-6DB62D772008}"/>
    <hyperlink ref="B9" location="'1.1'!A1" display="Funding gap estimates" xr:uid="{67CB17CF-5569-475A-8844-F8D8818B28FD}"/>
    <hyperlink ref="B21" location="'3.3'!A1" display="Current spending plans &amp; NHS pressures funded" xr:uid="{C4944FA5-0489-4A8A-A210-95D75A60AB14}"/>
    <hyperlink ref="B22" location="'3.4'!A1" display="Pre-COVID spending pland &amp; NHS pressures funded" xr:uid="{B8C5FD36-1604-42CC-BBBF-F79AE43F9349}"/>
    <hyperlink ref="B47" r:id="rId1" xr:uid="{5D5C1C1B-4F1A-4C2F-BE3C-41EF27693B78}"/>
    <hyperlink ref="H22:I22" r:id="rId2" display="DOWNLOAD FULL REPORT" xr:uid="{7A52048B-03DA-404F-8688-538CF02EB5AB}"/>
  </hyperlinks>
  <pageMargins left="0.7" right="0.7" top="0.75" bottom="0.75" header="0.3" footer="0.3"/>
  <pageSetup paperSize="9" scale="60" fitToHeight="0"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7D361-6CB9-46BF-8FE6-7D44A7B3950A}">
  <sheetPr>
    <tabColor theme="0"/>
    <pageSetUpPr fitToPage="1"/>
  </sheetPr>
  <dimension ref="A1:K36"/>
  <sheetViews>
    <sheetView zoomScaleNormal="100" workbookViewId="0">
      <selection activeCell="B10" sqref="B10"/>
    </sheetView>
  </sheetViews>
  <sheetFormatPr defaultColWidth="0" defaultRowHeight="14.4" customHeight="1" zeroHeight="1" x14ac:dyDescent="0.3"/>
  <cols>
    <col min="1" max="1" width="9.5546875" style="2" customWidth="1"/>
    <col min="2" max="2" width="47.88671875" style="2" bestFit="1" customWidth="1"/>
    <col min="3" max="9" width="10.77734375" style="2" customWidth="1"/>
    <col min="10" max="10" width="9.5546875" style="2" bestFit="1" customWidth="1"/>
  </cols>
  <sheetData>
    <row r="1" spans="1:11" x14ac:dyDescent="0.3">
      <c r="A1" s="186" t="s">
        <v>9</v>
      </c>
      <c r="B1" s="186"/>
      <c r="C1" s="1"/>
      <c r="D1" s="1"/>
      <c r="E1" s="1"/>
      <c r="F1" s="1"/>
      <c r="G1" s="1"/>
      <c r="H1" s="1"/>
      <c r="I1" s="1"/>
      <c r="J1" s="1"/>
      <c r="K1" s="13"/>
    </row>
    <row r="2" spans="1:11" x14ac:dyDescent="0.3">
      <c r="A2" s="1"/>
      <c r="B2" s="1"/>
      <c r="C2" s="1"/>
      <c r="D2" s="1"/>
      <c r="E2" s="1"/>
      <c r="F2" s="1"/>
      <c r="G2" s="1"/>
      <c r="H2" s="1"/>
      <c r="I2" s="1"/>
      <c r="J2" s="1"/>
      <c r="K2" s="13"/>
    </row>
    <row r="3" spans="1:11" ht="15.6" x14ac:dyDescent="0.3">
      <c r="A3" s="49">
        <v>3.2</v>
      </c>
      <c r="B3" s="18" t="s">
        <v>79</v>
      </c>
      <c r="C3" s="1"/>
      <c r="J3" s="1"/>
      <c r="K3" s="13"/>
    </row>
    <row r="4" spans="1:11" ht="15.6" x14ac:dyDescent="0.3">
      <c r="A4" s="18"/>
      <c r="B4" s="18"/>
      <c r="C4" s="1"/>
      <c r="J4" s="1"/>
      <c r="K4" s="13"/>
    </row>
    <row r="5" spans="1:11" ht="15.6" x14ac:dyDescent="0.3">
      <c r="A5" s="18"/>
      <c r="B5" s="18"/>
      <c r="C5" s="1"/>
      <c r="D5" s="1"/>
      <c r="E5" s="1"/>
      <c r="F5" s="1"/>
      <c r="G5" s="1"/>
      <c r="H5" s="1"/>
      <c r="I5" s="69" t="s">
        <v>78</v>
      </c>
      <c r="J5" s="1"/>
      <c r="K5" s="13"/>
    </row>
    <row r="6" spans="1:11" ht="30.6" customHeight="1" x14ac:dyDescent="0.3">
      <c r="A6" s="18"/>
      <c r="B6" s="47" t="s">
        <v>77</v>
      </c>
      <c r="C6" s="48" t="s">
        <v>10</v>
      </c>
      <c r="D6" s="48" t="s">
        <v>11</v>
      </c>
      <c r="E6" s="48" t="s">
        <v>12</v>
      </c>
      <c r="F6" s="48" t="s">
        <v>13</v>
      </c>
      <c r="G6" s="48" t="s">
        <v>14</v>
      </c>
      <c r="H6" s="48" t="s">
        <v>15</v>
      </c>
      <c r="I6" s="48" t="s">
        <v>16</v>
      </c>
      <c r="J6" s="1"/>
      <c r="K6" s="13"/>
    </row>
    <row r="7" spans="1:11" ht="7.05" customHeight="1" x14ac:dyDescent="0.3">
      <c r="A7" s="18"/>
      <c r="B7" s="8"/>
      <c r="C7" s="4"/>
      <c r="D7" s="4"/>
      <c r="E7" s="4"/>
      <c r="F7" s="4"/>
      <c r="G7" s="4"/>
      <c r="H7" s="4"/>
      <c r="I7" s="4"/>
      <c r="J7" s="1"/>
      <c r="K7" s="13"/>
    </row>
    <row r="8" spans="1:11" ht="14.4" customHeight="1" x14ac:dyDescent="0.3">
      <c r="A8" s="18"/>
      <c r="B8" s="4" t="s">
        <v>70</v>
      </c>
      <c r="C8" s="58">
        <v>3229.4810000000002</v>
      </c>
      <c r="D8" s="58">
        <v>3395.2440000000001</v>
      </c>
      <c r="E8" s="58">
        <v>3605.5444000000002</v>
      </c>
      <c r="F8" s="58">
        <v>3750.9856038151997</v>
      </c>
      <c r="G8" s="58">
        <v>3888.1429495676366</v>
      </c>
      <c r="H8" s="58">
        <v>4025.983526551795</v>
      </c>
      <c r="I8" s="58">
        <v>4164.9041711293066</v>
      </c>
      <c r="J8" s="1"/>
      <c r="K8" s="13"/>
    </row>
    <row r="9" spans="1:11" ht="14.4" customHeight="1" x14ac:dyDescent="0.3">
      <c r="A9" s="18"/>
      <c r="B9" s="4" t="s">
        <v>205</v>
      </c>
      <c r="C9" s="58">
        <v>1007.95</v>
      </c>
      <c r="D9" s="58">
        <v>1079.2</v>
      </c>
      <c r="E9" s="58">
        <v>1045.95</v>
      </c>
      <c r="F9" s="58">
        <v>1102.5246956470824</v>
      </c>
      <c r="G9" s="58">
        <v>1123.342800906046</v>
      </c>
      <c r="H9" s="58">
        <v>1144.463206352842</v>
      </c>
      <c r="I9" s="58">
        <v>1166.6198483598685</v>
      </c>
      <c r="J9" s="1"/>
      <c r="K9" s="13"/>
    </row>
    <row r="10" spans="1:11" ht="14.4" customHeight="1" x14ac:dyDescent="0.3">
      <c r="A10" s="18"/>
      <c r="B10" s="4" t="s">
        <v>64</v>
      </c>
      <c r="C10" s="58">
        <v>1092.0442459199999</v>
      </c>
      <c r="D10" s="58">
        <v>1019.516915</v>
      </c>
      <c r="E10" s="58">
        <v>1077.188277</v>
      </c>
      <c r="F10" s="58">
        <v>1120.6401229244325</v>
      </c>
      <c r="G10" s="58">
        <v>1161.6170929900238</v>
      </c>
      <c r="H10" s="58">
        <v>1202.7981844286019</v>
      </c>
      <c r="I10" s="58">
        <v>1244.3019556128306</v>
      </c>
      <c r="J10" s="1"/>
      <c r="K10" s="13"/>
    </row>
    <row r="11" spans="1:11" ht="14.4" customHeight="1" x14ac:dyDescent="0.3">
      <c r="A11" s="18"/>
      <c r="B11" s="4" t="s">
        <v>80</v>
      </c>
      <c r="C11" s="58">
        <f>SUM(C12:C13)</f>
        <v>1368.8050000000001</v>
      </c>
      <c r="D11" s="58">
        <f t="shared" ref="D11:I11" si="0">SUM(D12:D13)</f>
        <v>1441.0072229212367</v>
      </c>
      <c r="E11" s="58">
        <f t="shared" si="0"/>
        <v>1490.5455309178712</v>
      </c>
      <c r="F11" s="58">
        <f t="shared" si="0"/>
        <v>1572.6795722572763</v>
      </c>
      <c r="G11" s="58">
        <f t="shared" si="0"/>
        <v>1663.9565691716905</v>
      </c>
      <c r="H11" s="58">
        <f t="shared" si="0"/>
        <v>1757.2246789198775</v>
      </c>
      <c r="I11" s="58">
        <f t="shared" si="0"/>
        <v>1851.6707656839833</v>
      </c>
      <c r="J11" s="1"/>
      <c r="K11" s="13"/>
    </row>
    <row r="12" spans="1:11" ht="12" customHeight="1" x14ac:dyDescent="0.3">
      <c r="A12" s="18"/>
      <c r="B12" s="66" t="s">
        <v>85</v>
      </c>
      <c r="C12" s="67">
        <v>1628.6210000000001</v>
      </c>
      <c r="D12" s="67">
        <v>1723.8128852903135</v>
      </c>
      <c r="E12" s="67">
        <v>1793.7942991952355</v>
      </c>
      <c r="F12" s="67">
        <v>1889.511163000293</v>
      </c>
      <c r="G12" s="67">
        <v>1990.3354786579889</v>
      </c>
      <c r="H12" s="67">
        <v>2096.5397797991791</v>
      </c>
      <c r="I12" s="67">
        <v>2208.411142449263</v>
      </c>
      <c r="J12" s="1"/>
      <c r="K12" s="13"/>
    </row>
    <row r="13" spans="1:11" ht="12" customHeight="1" x14ac:dyDescent="0.3">
      <c r="A13" s="18"/>
      <c r="B13" s="66" t="s">
        <v>65</v>
      </c>
      <c r="C13" s="67">
        <v>-259.81599999999997</v>
      </c>
      <c r="D13" s="67">
        <v>-282.80566236907674</v>
      </c>
      <c r="E13" s="67">
        <v>-303.24876827736421</v>
      </c>
      <c r="F13" s="67">
        <v>-316.8315907430167</v>
      </c>
      <c r="G13" s="67">
        <v>-326.37890948629843</v>
      </c>
      <c r="H13" s="67">
        <v>-339.31510087930161</v>
      </c>
      <c r="I13" s="67">
        <v>-356.74037676527973</v>
      </c>
      <c r="J13" s="1"/>
      <c r="K13" s="13"/>
    </row>
    <row r="14" spans="1:11" ht="14.4" customHeight="1" x14ac:dyDescent="0.3">
      <c r="A14" s="18"/>
      <c r="B14" s="4" t="s">
        <v>66</v>
      </c>
      <c r="C14" s="58">
        <v>-4.7370000000000001</v>
      </c>
      <c r="D14" s="58">
        <v>-4.92</v>
      </c>
      <c r="E14" s="58">
        <v>-4.92</v>
      </c>
      <c r="F14" s="58">
        <v>-4.92</v>
      </c>
      <c r="G14" s="58">
        <v>-4.92</v>
      </c>
      <c r="H14" s="58">
        <v>-4.92</v>
      </c>
      <c r="I14" s="58">
        <v>-4.92</v>
      </c>
      <c r="J14" s="1"/>
      <c r="K14" s="13"/>
    </row>
    <row r="15" spans="1:11" ht="14.4" customHeight="1" x14ac:dyDescent="0.3">
      <c r="A15" s="18"/>
      <c r="B15" s="4" t="s">
        <v>67</v>
      </c>
      <c r="C15" s="58">
        <v>-23.77</v>
      </c>
      <c r="D15" s="58">
        <v>94.207999999999998</v>
      </c>
      <c r="E15" s="58">
        <v>47.103999999999999</v>
      </c>
      <c r="F15" s="58">
        <v>0</v>
      </c>
      <c r="G15" s="58">
        <v>0</v>
      </c>
      <c r="H15" s="58">
        <v>0</v>
      </c>
      <c r="I15" s="58">
        <v>0</v>
      </c>
      <c r="J15" s="1"/>
      <c r="K15" s="13"/>
    </row>
    <row r="16" spans="1:11" ht="14.4" customHeight="1" x14ac:dyDescent="0.3">
      <c r="A16" s="18"/>
      <c r="B16" s="4" t="s">
        <v>68</v>
      </c>
      <c r="C16" s="58">
        <v>1.4419999999999999</v>
      </c>
      <c r="D16" s="58">
        <v>-1.5329999999999999</v>
      </c>
      <c r="E16" s="58">
        <v>0</v>
      </c>
      <c r="F16" s="58">
        <v>0</v>
      </c>
      <c r="G16" s="58">
        <v>0</v>
      </c>
      <c r="H16" s="58">
        <v>0</v>
      </c>
      <c r="I16" s="58">
        <v>0</v>
      </c>
      <c r="J16" s="1"/>
      <c r="K16" s="13"/>
    </row>
    <row r="17" spans="1:11" ht="14.4" customHeight="1" x14ac:dyDescent="0.3">
      <c r="A17" s="18"/>
      <c r="B17" s="8" t="s">
        <v>81</v>
      </c>
      <c r="C17" s="59">
        <f>SUM(C14:C16,C8:C11)</f>
        <v>6671.2152459200006</v>
      </c>
      <c r="D17" s="59">
        <f t="shared" ref="D17:I17" si="1">SUM(D14:D16,D8:D11)</f>
        <v>7022.7231379212371</v>
      </c>
      <c r="E17" s="59">
        <f t="shared" si="1"/>
        <v>7261.4122079178724</v>
      </c>
      <c r="F17" s="59">
        <f t="shared" si="1"/>
        <v>7541.9099946439901</v>
      </c>
      <c r="G17" s="59">
        <f t="shared" si="1"/>
        <v>7832.1394126353971</v>
      </c>
      <c r="H17" s="59">
        <f t="shared" si="1"/>
        <v>8125.5495962531168</v>
      </c>
      <c r="I17" s="59">
        <f t="shared" si="1"/>
        <v>8422.5767407859876</v>
      </c>
      <c r="J17" s="1"/>
      <c r="K17" s="13"/>
    </row>
    <row r="18" spans="1:11" ht="14.4" customHeight="1" x14ac:dyDescent="0.3">
      <c r="A18" s="18"/>
      <c r="B18" s="8"/>
      <c r="C18" s="59"/>
      <c r="D18" s="59"/>
      <c r="E18" s="59"/>
      <c r="F18" s="59"/>
      <c r="G18" s="59"/>
      <c r="H18" s="59"/>
      <c r="I18" s="59"/>
      <c r="J18" s="1"/>
      <c r="K18" s="13"/>
    </row>
    <row r="19" spans="1:11" ht="14.4" customHeight="1" x14ac:dyDescent="0.3">
      <c r="A19" s="18"/>
      <c r="B19" s="4" t="s">
        <v>69</v>
      </c>
      <c r="C19" s="58">
        <v>-345.42731455000001</v>
      </c>
      <c r="D19" s="58">
        <f>D17*D20</f>
        <v>-436.8872681688847</v>
      </c>
      <c r="E19" s="58">
        <f t="shared" ref="E19:I19" si="2">E17*E20</f>
        <v>-451.73623966962782</v>
      </c>
      <c r="F19" s="58">
        <f t="shared" si="2"/>
        <v>-469.18615323783752</v>
      </c>
      <c r="G19" s="58">
        <f t="shared" si="2"/>
        <v>-487.24147666128715</v>
      </c>
      <c r="H19" s="58">
        <f t="shared" si="2"/>
        <v>-505.4946771728512</v>
      </c>
      <c r="I19" s="58">
        <f t="shared" si="2"/>
        <v>-523.97289070888735</v>
      </c>
      <c r="J19" s="1"/>
      <c r="K19" s="13"/>
    </row>
    <row r="20" spans="1:11" ht="12" customHeight="1" x14ac:dyDescent="0.3">
      <c r="A20" s="18"/>
      <c r="B20" s="66" t="s">
        <v>71</v>
      </c>
      <c r="C20" s="68">
        <f>C19/C17</f>
        <v>-5.1778769207193147E-2</v>
      </c>
      <c r="D20" s="68">
        <v>-6.2210521415800198E-2</v>
      </c>
      <c r="E20" s="68">
        <v>-6.2210521415800198E-2</v>
      </c>
      <c r="F20" s="68">
        <v>-6.2210521415800198E-2</v>
      </c>
      <c r="G20" s="68">
        <v>-6.2210521415800198E-2</v>
      </c>
      <c r="H20" s="68">
        <v>-6.2210521415800198E-2</v>
      </c>
      <c r="I20" s="68">
        <v>-6.2210521415800198E-2</v>
      </c>
      <c r="J20" s="1"/>
      <c r="K20" s="13"/>
    </row>
    <row r="21" spans="1:11" ht="14.4" customHeight="1" x14ac:dyDescent="0.3">
      <c r="A21" s="18"/>
      <c r="B21" s="8" t="s">
        <v>72</v>
      </c>
      <c r="C21" s="59">
        <f>C17+C19</f>
        <v>6325.7879313700005</v>
      </c>
      <c r="D21" s="59">
        <f t="shared" ref="D21:I21" si="3">D17+D19</f>
        <v>6585.8358697523527</v>
      </c>
      <c r="E21" s="59">
        <f t="shared" si="3"/>
        <v>6809.6759682482443</v>
      </c>
      <c r="F21" s="59">
        <f t="shared" si="3"/>
        <v>7072.7238414061521</v>
      </c>
      <c r="G21" s="59">
        <f t="shared" si="3"/>
        <v>7344.8979359741097</v>
      </c>
      <c r="H21" s="59">
        <f t="shared" si="3"/>
        <v>7620.0549190802658</v>
      </c>
      <c r="I21" s="59">
        <f t="shared" si="3"/>
        <v>7898.6038500771001</v>
      </c>
      <c r="J21" s="1"/>
      <c r="K21" s="13"/>
    </row>
    <row r="22" spans="1:11" ht="14.4" customHeight="1" x14ac:dyDescent="0.3">
      <c r="A22" s="18"/>
      <c r="B22" s="8"/>
      <c r="C22" s="59"/>
      <c r="D22" s="59"/>
      <c r="E22" s="59"/>
      <c r="F22" s="59"/>
      <c r="G22" s="59"/>
      <c r="H22" s="59"/>
      <c r="I22" s="59"/>
      <c r="J22" s="1"/>
      <c r="K22" s="13"/>
    </row>
    <row r="23" spans="1:11" ht="14.4" customHeight="1" x14ac:dyDescent="0.3">
      <c r="A23" s="18"/>
      <c r="B23" s="4" t="s">
        <v>73</v>
      </c>
      <c r="C23" s="58">
        <v>-199.11680565</v>
      </c>
      <c r="D23" s="58">
        <f>D17*D24</f>
        <v>-210.09910835572168</v>
      </c>
      <c r="E23" s="58">
        <f t="shared" ref="E23:I23" si="4">E17*E24</f>
        <v>-217.23997946735057</v>
      </c>
      <c r="F23" s="58">
        <f t="shared" si="4"/>
        <v>-225.63164374479993</v>
      </c>
      <c r="G23" s="58">
        <f t="shared" si="4"/>
        <v>-234.31444965086391</v>
      </c>
      <c r="H23" s="58">
        <f t="shared" si="4"/>
        <v>-243.09241465815575</v>
      </c>
      <c r="I23" s="58">
        <f t="shared" si="4"/>
        <v>-251.97858843978008</v>
      </c>
      <c r="J23" s="1"/>
      <c r="K23" s="13"/>
    </row>
    <row r="24" spans="1:11" ht="12" customHeight="1" x14ac:dyDescent="0.3">
      <c r="A24" s="18"/>
      <c r="B24" s="66" t="s">
        <v>71</v>
      </c>
      <c r="C24" s="68">
        <f>C23/C17</f>
        <v>-2.9847156523959615E-2</v>
      </c>
      <c r="D24" s="68">
        <v>-2.9917042752437499E-2</v>
      </c>
      <c r="E24" s="68">
        <v>-2.9917042752437499E-2</v>
      </c>
      <c r="F24" s="68">
        <v>-2.9917042752437499E-2</v>
      </c>
      <c r="G24" s="68">
        <v>-2.9917042752437499E-2</v>
      </c>
      <c r="H24" s="68">
        <v>-2.9917042752437499E-2</v>
      </c>
      <c r="I24" s="68">
        <v>-2.9917042752437499E-2</v>
      </c>
      <c r="J24" s="1"/>
      <c r="K24" s="13"/>
    </row>
    <row r="25" spans="1:11" ht="14.4" customHeight="1" x14ac:dyDescent="0.3">
      <c r="A25" s="18"/>
      <c r="B25" s="8" t="s">
        <v>74</v>
      </c>
      <c r="C25" s="59">
        <f>SUM(C21,C23)</f>
        <v>6126.6711257200004</v>
      </c>
      <c r="D25" s="59">
        <f t="shared" ref="D25:I25" si="5">SUM(D21,D23)</f>
        <v>6375.7367613966308</v>
      </c>
      <c r="E25" s="59">
        <f t="shared" si="5"/>
        <v>6592.4359887808941</v>
      </c>
      <c r="F25" s="59">
        <f t="shared" si="5"/>
        <v>6847.0921976613517</v>
      </c>
      <c r="G25" s="59">
        <f t="shared" si="5"/>
        <v>7110.5834863232458</v>
      </c>
      <c r="H25" s="59">
        <f t="shared" si="5"/>
        <v>7376.9625044221102</v>
      </c>
      <c r="I25" s="59">
        <f t="shared" si="5"/>
        <v>7646.6252616373204</v>
      </c>
      <c r="J25" s="1"/>
      <c r="K25" s="13"/>
    </row>
    <row r="26" spans="1:11" ht="14.4" customHeight="1" x14ac:dyDescent="0.3">
      <c r="A26" s="18"/>
      <c r="B26" s="8"/>
      <c r="C26" s="59"/>
      <c r="D26" s="59"/>
      <c r="E26" s="59"/>
      <c r="F26" s="59"/>
      <c r="G26" s="59"/>
      <c r="H26" s="59"/>
      <c r="I26" s="59"/>
      <c r="J26" s="1"/>
      <c r="K26" s="13"/>
    </row>
    <row r="27" spans="1:11" ht="14.4" customHeight="1" x14ac:dyDescent="0.3">
      <c r="A27" s="18"/>
      <c r="B27" s="4" t="s">
        <v>75</v>
      </c>
      <c r="C27" s="58">
        <v>1292.55899215871</v>
      </c>
      <c r="D27" s="58">
        <f>D25*D28</f>
        <v>1339.7398016274501</v>
      </c>
      <c r="E27" s="58">
        <f t="shared" ref="E27:I27" si="6">E25*E28</f>
        <v>1390.82255970253</v>
      </c>
      <c r="F27" s="58">
        <f t="shared" si="6"/>
        <v>1444.5480112476005</v>
      </c>
      <c r="G27" s="58">
        <f t="shared" si="6"/>
        <v>1500.1374214716445</v>
      </c>
      <c r="H27" s="58">
        <f t="shared" si="6"/>
        <v>1556.3360631321505</v>
      </c>
      <c r="I27" s="58">
        <f t="shared" si="6"/>
        <v>1613.2274833726744</v>
      </c>
      <c r="J27" s="1"/>
      <c r="K27" s="13"/>
    </row>
    <row r="28" spans="1:11" ht="12" customHeight="1" x14ac:dyDescent="0.3">
      <c r="A28" s="18"/>
      <c r="B28" s="66" t="s">
        <v>76</v>
      </c>
      <c r="C28" s="68">
        <f>C27/C25</f>
        <v>0.21097247846918007</v>
      </c>
      <c r="D28" s="68">
        <v>0.21013097807601058</v>
      </c>
      <c r="E28" s="68">
        <v>0.21097247846918082</v>
      </c>
      <c r="F28" s="68">
        <v>0.21097247846918007</v>
      </c>
      <c r="G28" s="68">
        <v>0.21097247846918094</v>
      </c>
      <c r="H28" s="68">
        <v>0.21097247846918116</v>
      </c>
      <c r="I28" s="68">
        <v>0.21097247846918091</v>
      </c>
      <c r="J28" s="1"/>
      <c r="K28" s="13"/>
    </row>
    <row r="29" spans="1:11" ht="14.4" customHeight="1" x14ac:dyDescent="0.3">
      <c r="A29" s="18"/>
      <c r="B29" s="8" t="s">
        <v>82</v>
      </c>
      <c r="C29" s="59">
        <f>SUM(C25,C27)</f>
        <v>7419.2301178787102</v>
      </c>
      <c r="D29" s="59">
        <f t="shared" ref="D29:I29" si="7">SUM(D25,D27)</f>
        <v>7715.4765630240809</v>
      </c>
      <c r="E29" s="59">
        <f t="shared" si="7"/>
        <v>7983.2585484834244</v>
      </c>
      <c r="F29" s="59">
        <f t="shared" si="7"/>
        <v>8291.6402089089515</v>
      </c>
      <c r="G29" s="59">
        <f t="shared" si="7"/>
        <v>8610.7209077948901</v>
      </c>
      <c r="H29" s="59">
        <f t="shared" si="7"/>
        <v>8933.2985675542604</v>
      </c>
      <c r="I29" s="59">
        <f t="shared" si="7"/>
        <v>9259.8527450099955</v>
      </c>
      <c r="J29" s="1"/>
      <c r="K29" s="13"/>
    </row>
    <row r="30" spans="1:11" ht="7.05" customHeight="1" x14ac:dyDescent="0.3">
      <c r="A30" s="18"/>
      <c r="B30" s="37"/>
      <c r="C30" s="38"/>
      <c r="D30" s="39"/>
      <c r="E30" s="40"/>
      <c r="F30" s="40"/>
      <c r="G30" s="40"/>
      <c r="H30" s="40"/>
      <c r="I30" s="40"/>
      <c r="J30" s="1"/>
      <c r="K30" s="13"/>
    </row>
    <row r="31" spans="1:11" ht="14.4" customHeight="1" x14ac:dyDescent="0.3">
      <c r="A31" s="18"/>
      <c r="B31" s="50" t="s">
        <v>84</v>
      </c>
      <c r="C31" s="1"/>
      <c r="D31" s="1"/>
      <c r="E31" s="1"/>
      <c r="F31" s="1"/>
      <c r="G31" s="1"/>
      <c r="H31" s="1"/>
      <c r="I31" s="49"/>
      <c r="J31" s="1"/>
      <c r="K31" s="13"/>
    </row>
    <row r="32" spans="1:11" ht="14.4" customHeight="1" x14ac:dyDescent="0.3">
      <c r="A32" s="18"/>
      <c r="B32" s="50" t="s">
        <v>83</v>
      </c>
      <c r="C32" s="174"/>
      <c r="D32" s="174"/>
      <c r="E32" s="174"/>
      <c r="F32" s="174"/>
      <c r="G32" s="174"/>
      <c r="H32" s="174"/>
      <c r="I32" s="174"/>
      <c r="J32" s="1"/>
      <c r="K32" s="13"/>
    </row>
    <row r="33" spans="1:11" ht="14.4" customHeight="1" x14ac:dyDescent="0.3">
      <c r="A33" s="18"/>
      <c r="B33" s="194" t="s">
        <v>206</v>
      </c>
      <c r="C33" s="194"/>
      <c r="D33" s="194"/>
      <c r="E33" s="194"/>
      <c r="F33" s="194"/>
      <c r="G33" s="194"/>
      <c r="H33" s="194"/>
      <c r="I33" s="194"/>
      <c r="J33" s="1"/>
      <c r="K33" s="13"/>
    </row>
    <row r="34" spans="1:11" ht="14.4" customHeight="1" x14ac:dyDescent="0.3">
      <c r="A34" s="18"/>
      <c r="B34" s="194"/>
      <c r="C34" s="194"/>
      <c r="D34" s="194"/>
      <c r="E34" s="194"/>
      <c r="F34" s="194"/>
      <c r="G34" s="194"/>
      <c r="H34" s="194"/>
      <c r="I34" s="194"/>
      <c r="J34" s="1"/>
      <c r="K34" s="13"/>
    </row>
    <row r="35" spans="1:11" ht="15.6" x14ac:dyDescent="0.3">
      <c r="A35" s="18"/>
      <c r="B35" s="195"/>
      <c r="C35" s="195"/>
      <c r="D35" s="195"/>
      <c r="E35" s="195"/>
      <c r="F35" s="195"/>
      <c r="G35" s="195"/>
      <c r="H35" s="195"/>
      <c r="I35" s="195"/>
      <c r="J35" s="1"/>
      <c r="K35" s="13"/>
    </row>
    <row r="36" spans="1:11" ht="15.6" x14ac:dyDescent="0.3">
      <c r="A36" s="18"/>
      <c r="B36" s="18"/>
      <c r="C36" s="1"/>
      <c r="D36" s="173"/>
      <c r="E36" s="173"/>
      <c r="F36" s="173"/>
      <c r="G36" s="173"/>
      <c r="H36" s="173"/>
      <c r="I36" s="173"/>
      <c r="J36" s="1"/>
      <c r="K36" s="13"/>
    </row>
  </sheetData>
  <mergeCells count="2">
    <mergeCell ref="A1:B1"/>
    <mergeCell ref="B33:I34"/>
  </mergeCells>
  <hyperlinks>
    <hyperlink ref="A1" location="Contents!A1" display="Back to contents" xr:uid="{3745A6BE-AE31-44FC-97DC-BA22F9176CF9}"/>
  </hyperlinks>
  <pageMargins left="0.7" right="0.7" top="0.75" bottom="0.75" header="0.3" footer="0.3"/>
  <pageSetup paperSize="9" scale="6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D17C-6B56-4CA1-9DD1-4F318C17D8CB}">
  <sheetPr>
    <tabColor theme="0"/>
    <pageSetUpPr fitToPage="1"/>
  </sheetPr>
  <dimension ref="A1:K36"/>
  <sheetViews>
    <sheetView zoomScaleNormal="100" workbookViewId="0">
      <selection activeCell="B10" sqref="B10"/>
    </sheetView>
  </sheetViews>
  <sheetFormatPr defaultColWidth="0" defaultRowHeight="14.4" customHeight="1" zeroHeight="1" x14ac:dyDescent="0.3"/>
  <cols>
    <col min="1" max="1" width="9.5546875" style="2" customWidth="1"/>
    <col min="2" max="2" width="47.88671875" style="2" bestFit="1" customWidth="1"/>
    <col min="3" max="9" width="10.77734375" style="2" customWidth="1"/>
    <col min="10" max="10" width="9.5546875" style="2" bestFit="1" customWidth="1"/>
  </cols>
  <sheetData>
    <row r="1" spans="1:11" x14ac:dyDescent="0.3">
      <c r="A1" s="186" t="s">
        <v>9</v>
      </c>
      <c r="B1" s="186"/>
      <c r="C1" s="1"/>
      <c r="D1" s="1"/>
      <c r="E1" s="1"/>
      <c r="F1" s="1"/>
      <c r="G1" s="1"/>
      <c r="H1" s="1"/>
      <c r="I1" s="1"/>
      <c r="J1" s="1"/>
      <c r="K1" s="13"/>
    </row>
    <row r="2" spans="1:11" x14ac:dyDescent="0.3">
      <c r="A2" s="1"/>
      <c r="B2" s="1"/>
      <c r="C2" s="1"/>
      <c r="D2" s="1"/>
      <c r="E2" s="1"/>
      <c r="F2" s="1"/>
      <c r="G2" s="1"/>
      <c r="H2" s="1"/>
      <c r="I2" s="1"/>
      <c r="J2" s="1"/>
      <c r="K2" s="13"/>
    </row>
    <row r="3" spans="1:11" ht="15.6" x14ac:dyDescent="0.3">
      <c r="A3" s="49">
        <v>3.3</v>
      </c>
      <c r="B3" s="18" t="s">
        <v>186</v>
      </c>
      <c r="C3" s="1"/>
      <c r="J3" s="1"/>
      <c r="K3" s="13"/>
    </row>
    <row r="4" spans="1:11" ht="15.6" x14ac:dyDescent="0.3">
      <c r="A4" s="18"/>
      <c r="B4" s="18"/>
      <c r="C4" s="1"/>
      <c r="J4" s="1"/>
      <c r="K4" s="13"/>
    </row>
    <row r="5" spans="1:11" ht="15.6" x14ac:dyDescent="0.3">
      <c r="A5" s="18"/>
      <c r="B5" s="18"/>
      <c r="C5" s="1"/>
      <c r="D5" s="1"/>
      <c r="E5" s="1"/>
      <c r="F5" s="1"/>
      <c r="G5" s="1"/>
      <c r="H5" s="1"/>
      <c r="I5" s="69" t="s">
        <v>78</v>
      </c>
      <c r="J5" s="1"/>
      <c r="K5" s="13"/>
    </row>
    <row r="6" spans="1:11" ht="30.6" customHeight="1" x14ac:dyDescent="0.3">
      <c r="A6" s="18"/>
      <c r="B6" s="47" t="s">
        <v>77</v>
      </c>
      <c r="C6" s="48" t="s">
        <v>10</v>
      </c>
      <c r="D6" s="48" t="s">
        <v>11</v>
      </c>
      <c r="E6" s="48" t="s">
        <v>12</v>
      </c>
      <c r="F6" s="48" t="s">
        <v>13</v>
      </c>
      <c r="G6" s="48" t="s">
        <v>14</v>
      </c>
      <c r="H6" s="48" t="s">
        <v>15</v>
      </c>
      <c r="I6" s="48" t="s">
        <v>16</v>
      </c>
      <c r="J6" s="1"/>
      <c r="K6" s="13"/>
    </row>
    <row r="7" spans="1:11" ht="7.05" customHeight="1" x14ac:dyDescent="0.3">
      <c r="A7" s="18"/>
      <c r="B7" s="8"/>
      <c r="C7" s="4"/>
      <c r="D7" s="4"/>
      <c r="E7" s="4"/>
      <c r="F7" s="4"/>
      <c r="G7" s="4"/>
      <c r="H7" s="4"/>
      <c r="I7" s="4"/>
      <c r="J7" s="1"/>
      <c r="K7" s="13"/>
    </row>
    <row r="8" spans="1:11" ht="14.4" customHeight="1" x14ac:dyDescent="0.3">
      <c r="A8" s="18"/>
      <c r="B8" s="4" t="s">
        <v>70</v>
      </c>
      <c r="C8" s="58">
        <v>3229.4810000000002</v>
      </c>
      <c r="D8" s="58">
        <v>3395.2440000000001</v>
      </c>
      <c r="E8" s="58">
        <v>3605.5444000000002</v>
      </c>
      <c r="F8" s="58">
        <v>3300.5603395773069</v>
      </c>
      <c r="G8" s="58">
        <v>3567.1089977994079</v>
      </c>
      <c r="H8" s="58">
        <v>3668.6430601306374</v>
      </c>
      <c r="I8" s="58">
        <v>3795.667341372658</v>
      </c>
      <c r="J8" s="1"/>
      <c r="K8" s="13"/>
    </row>
    <row r="9" spans="1:11" ht="14.4" customHeight="1" x14ac:dyDescent="0.3">
      <c r="A9" s="18"/>
      <c r="B9" s="4" t="s">
        <v>205</v>
      </c>
      <c r="C9" s="58">
        <v>1007.95</v>
      </c>
      <c r="D9" s="58">
        <v>1079.2</v>
      </c>
      <c r="E9" s="58">
        <v>1045.95</v>
      </c>
      <c r="F9" s="58">
        <v>1102.5246956470824</v>
      </c>
      <c r="G9" s="58">
        <v>1123.342800906046</v>
      </c>
      <c r="H9" s="58">
        <v>1144.463206352842</v>
      </c>
      <c r="I9" s="58">
        <v>1166.6198483598685</v>
      </c>
      <c r="J9" s="1"/>
      <c r="K9" s="13"/>
    </row>
    <row r="10" spans="1:11" ht="14.4" customHeight="1" x14ac:dyDescent="0.3">
      <c r="A10" s="18"/>
      <c r="B10" s="4" t="s">
        <v>64</v>
      </c>
      <c r="C10" s="58">
        <v>1092.0442459199999</v>
      </c>
      <c r="D10" s="58">
        <v>1019.516915</v>
      </c>
      <c r="E10" s="58">
        <v>1077.188277</v>
      </c>
      <c r="F10" s="58">
        <v>986.0715916641642</v>
      </c>
      <c r="G10" s="58">
        <v>1065.7053606691795</v>
      </c>
      <c r="H10" s="58">
        <v>1096.0395597597212</v>
      </c>
      <c r="I10" s="58">
        <v>1133.9891871858197</v>
      </c>
      <c r="J10" s="1"/>
      <c r="K10" s="13"/>
    </row>
    <row r="11" spans="1:11" ht="14.4" customHeight="1" x14ac:dyDescent="0.3">
      <c r="A11" s="18"/>
      <c r="B11" s="4" t="s">
        <v>80</v>
      </c>
      <c r="C11" s="58">
        <f>SUM(C12:C13)</f>
        <v>1368.8050000000001</v>
      </c>
      <c r="D11" s="58">
        <f t="shared" ref="D11:I11" si="0">SUM(D12:D13)</f>
        <v>1441.0072229212367</v>
      </c>
      <c r="E11" s="58">
        <f t="shared" si="0"/>
        <v>1490.5455309178712</v>
      </c>
      <c r="F11" s="58">
        <f t="shared" si="0"/>
        <v>1572.6795722572763</v>
      </c>
      <c r="G11" s="58">
        <f t="shared" si="0"/>
        <v>1663.9565691716905</v>
      </c>
      <c r="H11" s="58">
        <f t="shared" si="0"/>
        <v>1757.2246789198775</v>
      </c>
      <c r="I11" s="58">
        <f t="shared" si="0"/>
        <v>1851.6707656839833</v>
      </c>
      <c r="J11" s="1"/>
      <c r="K11" s="13"/>
    </row>
    <row r="12" spans="1:11" ht="12" customHeight="1" x14ac:dyDescent="0.3">
      <c r="A12" s="18"/>
      <c r="B12" s="66" t="s">
        <v>85</v>
      </c>
      <c r="C12" s="67">
        <v>1628.6210000000001</v>
      </c>
      <c r="D12" s="67">
        <v>1723.8128852903135</v>
      </c>
      <c r="E12" s="67">
        <v>1793.7942991952355</v>
      </c>
      <c r="F12" s="67">
        <v>1889.511163000293</v>
      </c>
      <c r="G12" s="67">
        <v>1990.3354786579889</v>
      </c>
      <c r="H12" s="67">
        <v>2096.5397797991791</v>
      </c>
      <c r="I12" s="67">
        <v>2208.411142449263</v>
      </c>
      <c r="J12" s="1"/>
      <c r="K12" s="13"/>
    </row>
    <row r="13" spans="1:11" ht="12" customHeight="1" x14ac:dyDescent="0.3">
      <c r="A13" s="18"/>
      <c r="B13" s="66" t="s">
        <v>65</v>
      </c>
      <c r="C13" s="67">
        <v>-259.81599999999997</v>
      </c>
      <c r="D13" s="67">
        <v>-282.80566236907674</v>
      </c>
      <c r="E13" s="67">
        <v>-303.24876827736421</v>
      </c>
      <c r="F13" s="67">
        <v>-316.8315907430167</v>
      </c>
      <c r="G13" s="67">
        <v>-326.37890948629843</v>
      </c>
      <c r="H13" s="67">
        <v>-339.31510087930161</v>
      </c>
      <c r="I13" s="67">
        <v>-356.74037676527973</v>
      </c>
      <c r="J13" s="1"/>
      <c r="K13" s="13"/>
    </row>
    <row r="14" spans="1:11" ht="14.4" customHeight="1" x14ac:dyDescent="0.3">
      <c r="A14" s="18"/>
      <c r="B14" s="4" t="s">
        <v>66</v>
      </c>
      <c r="C14" s="58">
        <v>-4.7370000000000001</v>
      </c>
      <c r="D14" s="58">
        <v>-4.92</v>
      </c>
      <c r="E14" s="58">
        <v>-4.92</v>
      </c>
      <c r="F14" s="58">
        <v>-4.92</v>
      </c>
      <c r="G14" s="58">
        <v>-4.92</v>
      </c>
      <c r="H14" s="58">
        <v>-4.92</v>
      </c>
      <c r="I14" s="58">
        <v>-4.92</v>
      </c>
      <c r="J14" s="1"/>
      <c r="K14" s="13"/>
    </row>
    <row r="15" spans="1:11" ht="14.4" customHeight="1" x14ac:dyDescent="0.3">
      <c r="A15" s="18"/>
      <c r="B15" s="4" t="s">
        <v>67</v>
      </c>
      <c r="C15" s="58">
        <v>-23.77</v>
      </c>
      <c r="D15" s="58">
        <v>94.207999999999998</v>
      </c>
      <c r="E15" s="58">
        <v>47.103999999999999</v>
      </c>
      <c r="F15" s="58">
        <v>0</v>
      </c>
      <c r="G15" s="58">
        <v>0</v>
      </c>
      <c r="H15" s="58">
        <v>0</v>
      </c>
      <c r="I15" s="58">
        <v>0</v>
      </c>
      <c r="J15" s="1"/>
      <c r="K15" s="13"/>
    </row>
    <row r="16" spans="1:11" ht="14.4" customHeight="1" x14ac:dyDescent="0.3">
      <c r="A16" s="18"/>
      <c r="B16" s="4" t="s">
        <v>68</v>
      </c>
      <c r="C16" s="58">
        <v>1.4419999999999999</v>
      </c>
      <c r="D16" s="58">
        <v>-1.5329999999999999</v>
      </c>
      <c r="E16" s="58">
        <v>0</v>
      </c>
      <c r="F16" s="58">
        <v>0</v>
      </c>
      <c r="G16" s="58">
        <v>0</v>
      </c>
      <c r="H16" s="58">
        <v>0</v>
      </c>
      <c r="I16" s="58">
        <v>0</v>
      </c>
      <c r="J16" s="1"/>
      <c r="K16" s="13"/>
    </row>
    <row r="17" spans="1:11" ht="14.4" customHeight="1" x14ac:dyDescent="0.3">
      <c r="A17" s="18"/>
      <c r="B17" s="8" t="s">
        <v>81</v>
      </c>
      <c r="C17" s="59">
        <f>SUM(C14:C16,C8:C11)</f>
        <v>6671.2152459200006</v>
      </c>
      <c r="D17" s="59">
        <f t="shared" ref="D17:I17" si="1">SUM(D14:D16,D8:D11)</f>
        <v>7022.7231379212371</v>
      </c>
      <c r="E17" s="59">
        <f t="shared" si="1"/>
        <v>7261.4122079178724</v>
      </c>
      <c r="F17" s="59">
        <f t="shared" si="1"/>
        <v>6956.9161991458286</v>
      </c>
      <c r="G17" s="59">
        <f t="shared" si="1"/>
        <v>7415.1937285463246</v>
      </c>
      <c r="H17" s="59">
        <f t="shared" si="1"/>
        <v>7661.4505051630786</v>
      </c>
      <c r="I17" s="59">
        <f t="shared" si="1"/>
        <v>7943.0271426023301</v>
      </c>
      <c r="J17" s="1"/>
      <c r="K17" s="13"/>
    </row>
    <row r="18" spans="1:11" ht="14.4" customHeight="1" x14ac:dyDescent="0.3">
      <c r="A18" s="18"/>
      <c r="B18" s="8"/>
      <c r="C18" s="59"/>
      <c r="D18" s="59"/>
      <c r="E18" s="59"/>
      <c r="F18" s="59"/>
      <c r="G18" s="59"/>
      <c r="H18" s="59"/>
      <c r="I18" s="59"/>
      <c r="J18" s="1"/>
      <c r="K18" s="13"/>
    </row>
    <row r="19" spans="1:11" ht="14.4" customHeight="1" x14ac:dyDescent="0.3">
      <c r="A19" s="18"/>
      <c r="B19" s="4" t="s">
        <v>69</v>
      </c>
      <c r="C19" s="58">
        <v>-345.42731455000001</v>
      </c>
      <c r="D19" s="58">
        <f>D17*D20</f>
        <v>-436.8872681688847</v>
      </c>
      <c r="E19" s="58">
        <f t="shared" ref="E19:I19" si="2">E17*E20</f>
        <v>-451.73623966962782</v>
      </c>
      <c r="F19" s="58">
        <f t="shared" si="2"/>
        <v>-432.79338419488886</v>
      </c>
      <c r="G19" s="58">
        <f t="shared" si="2"/>
        <v>-461.30306825203843</v>
      </c>
      <c r="H19" s="58">
        <f t="shared" si="2"/>
        <v>-476.62283072754093</v>
      </c>
      <c r="I19" s="58">
        <f t="shared" si="2"/>
        <v>-494.1398601611445</v>
      </c>
      <c r="J19" s="1"/>
      <c r="K19" s="13"/>
    </row>
    <row r="20" spans="1:11" ht="12" customHeight="1" x14ac:dyDescent="0.3">
      <c r="A20" s="18"/>
      <c r="B20" s="66" t="s">
        <v>71</v>
      </c>
      <c r="C20" s="68">
        <f>C19/C17</f>
        <v>-5.1778769207193147E-2</v>
      </c>
      <c r="D20" s="68">
        <v>-6.2210521415800198E-2</v>
      </c>
      <c r="E20" s="68">
        <v>-6.2210521415800198E-2</v>
      </c>
      <c r="F20" s="68">
        <v>-6.2210521415800198E-2</v>
      </c>
      <c r="G20" s="68">
        <v>-6.2210521415800198E-2</v>
      </c>
      <c r="H20" s="68">
        <v>-6.2210521415800198E-2</v>
      </c>
      <c r="I20" s="68">
        <v>-6.2210521415800198E-2</v>
      </c>
      <c r="J20" s="1"/>
      <c r="K20" s="13"/>
    </row>
    <row r="21" spans="1:11" ht="14.4" customHeight="1" x14ac:dyDescent="0.3">
      <c r="A21" s="18"/>
      <c r="B21" s="8" t="s">
        <v>72</v>
      </c>
      <c r="C21" s="59">
        <f>C17+C19</f>
        <v>6325.7879313700005</v>
      </c>
      <c r="D21" s="59">
        <f t="shared" ref="D21:I21" si="3">D17+D19</f>
        <v>6585.8358697523527</v>
      </c>
      <c r="E21" s="59">
        <f t="shared" si="3"/>
        <v>6809.6759682482443</v>
      </c>
      <c r="F21" s="59">
        <f t="shared" si="3"/>
        <v>6524.1228149509398</v>
      </c>
      <c r="G21" s="59">
        <f t="shared" si="3"/>
        <v>6953.8906602942861</v>
      </c>
      <c r="H21" s="59">
        <f t="shared" si="3"/>
        <v>7184.827674435538</v>
      </c>
      <c r="I21" s="59">
        <f t="shared" si="3"/>
        <v>7448.8872824411856</v>
      </c>
      <c r="J21" s="1"/>
      <c r="K21" s="13"/>
    </row>
    <row r="22" spans="1:11" ht="14.4" customHeight="1" x14ac:dyDescent="0.3">
      <c r="A22" s="18"/>
      <c r="B22" s="8"/>
      <c r="C22" s="59"/>
      <c r="D22" s="59"/>
      <c r="E22" s="59"/>
      <c r="F22" s="59"/>
      <c r="G22" s="59"/>
      <c r="H22" s="59"/>
      <c r="I22" s="59"/>
      <c r="J22" s="1"/>
      <c r="K22" s="13"/>
    </row>
    <row r="23" spans="1:11" ht="14.4" customHeight="1" x14ac:dyDescent="0.3">
      <c r="A23" s="18"/>
      <c r="B23" s="4" t="s">
        <v>73</v>
      </c>
      <c r="C23" s="58">
        <v>-199.11680565</v>
      </c>
      <c r="D23" s="58">
        <f>D17*D24</f>
        <v>-210.09910835572168</v>
      </c>
      <c r="E23" s="58">
        <f t="shared" ref="E23:I23" si="4">E17*E24</f>
        <v>-217.23997946735057</v>
      </c>
      <c r="F23" s="58">
        <f t="shared" si="4"/>
        <v>-208.13035935497075</v>
      </c>
      <c r="G23" s="58">
        <f t="shared" si="4"/>
        <v>-221.84066779452681</v>
      </c>
      <c r="H23" s="58">
        <f t="shared" si="4"/>
        <v>-229.20794230864769</v>
      </c>
      <c r="I23" s="58">
        <f t="shared" si="4"/>
        <v>-237.63188260900537</v>
      </c>
      <c r="J23" s="1"/>
      <c r="K23" s="13"/>
    </row>
    <row r="24" spans="1:11" ht="12" customHeight="1" x14ac:dyDescent="0.3">
      <c r="A24" s="18"/>
      <c r="B24" s="66" t="s">
        <v>71</v>
      </c>
      <c r="C24" s="68">
        <f>C23/C17</f>
        <v>-2.9847156523959615E-2</v>
      </c>
      <c r="D24" s="68">
        <v>-2.9917042752437499E-2</v>
      </c>
      <c r="E24" s="68">
        <v>-2.9917042752437499E-2</v>
      </c>
      <c r="F24" s="68">
        <v>-2.9917042752437499E-2</v>
      </c>
      <c r="G24" s="68">
        <v>-2.9917042752437499E-2</v>
      </c>
      <c r="H24" s="68">
        <v>-2.9917042752437499E-2</v>
      </c>
      <c r="I24" s="68">
        <v>-2.9917042752437499E-2</v>
      </c>
      <c r="J24" s="1"/>
      <c r="K24" s="13"/>
    </row>
    <row r="25" spans="1:11" ht="14.4" customHeight="1" x14ac:dyDescent="0.3">
      <c r="A25" s="18"/>
      <c r="B25" s="8" t="s">
        <v>74</v>
      </c>
      <c r="C25" s="59">
        <f>SUM(C21,C23)</f>
        <v>6126.6711257200004</v>
      </c>
      <c r="D25" s="59">
        <f t="shared" ref="D25:I25" si="5">SUM(D21,D23)</f>
        <v>6375.7367613966308</v>
      </c>
      <c r="E25" s="59">
        <f t="shared" si="5"/>
        <v>6592.4359887808941</v>
      </c>
      <c r="F25" s="59">
        <f t="shared" si="5"/>
        <v>6315.9924555959687</v>
      </c>
      <c r="G25" s="59">
        <f t="shared" si="5"/>
        <v>6732.0499924997594</v>
      </c>
      <c r="H25" s="59">
        <f t="shared" si="5"/>
        <v>6955.6197321268901</v>
      </c>
      <c r="I25" s="59">
        <f t="shared" si="5"/>
        <v>7211.25539983218</v>
      </c>
      <c r="J25" s="1"/>
      <c r="K25" s="13"/>
    </row>
    <row r="26" spans="1:11" ht="14.4" customHeight="1" x14ac:dyDescent="0.3">
      <c r="A26" s="18"/>
      <c r="B26" s="8"/>
      <c r="C26" s="59"/>
      <c r="D26" s="59"/>
      <c r="E26" s="59"/>
      <c r="F26" s="59"/>
      <c r="G26" s="59"/>
      <c r="H26" s="59"/>
      <c r="I26" s="59"/>
      <c r="J26" s="1"/>
      <c r="K26" s="13"/>
    </row>
    <row r="27" spans="1:11" ht="14.4" customHeight="1" x14ac:dyDescent="0.3">
      <c r="A27" s="18"/>
      <c r="B27" s="4" t="s">
        <v>75</v>
      </c>
      <c r="C27" s="58">
        <v>1292.55899215871</v>
      </c>
      <c r="D27" s="58">
        <f>D25*D28</f>
        <v>1339.7398016274501</v>
      </c>
      <c r="E27" s="58">
        <f t="shared" ref="E27:I27" si="6">E25*E28</f>
        <v>1390.82255970253</v>
      </c>
      <c r="F27" s="58">
        <f t="shared" si="6"/>
        <v>1332.5005823497243</v>
      </c>
      <c r="G27" s="58">
        <f t="shared" si="6"/>
        <v>1420.2772720961052</v>
      </c>
      <c r="H27" s="58">
        <f t="shared" si="6"/>
        <v>1467.444334175952</v>
      </c>
      <c r="I27" s="58">
        <f t="shared" si="6"/>
        <v>1521.3764245768591</v>
      </c>
      <c r="J27" s="1"/>
      <c r="K27" s="13"/>
    </row>
    <row r="28" spans="1:11" ht="12" customHeight="1" x14ac:dyDescent="0.3">
      <c r="A28" s="18"/>
      <c r="B28" s="66" t="s">
        <v>76</v>
      </c>
      <c r="C28" s="68">
        <f>C27/C25</f>
        <v>0.21097247846918007</v>
      </c>
      <c r="D28" s="68">
        <v>0.21013097807601058</v>
      </c>
      <c r="E28" s="68">
        <v>0.21097247846918082</v>
      </c>
      <c r="F28" s="68">
        <v>0.21097247846918007</v>
      </c>
      <c r="G28" s="68">
        <v>0.21097247846918094</v>
      </c>
      <c r="H28" s="68">
        <v>0.21097247846918116</v>
      </c>
      <c r="I28" s="68">
        <v>0.21097247846918091</v>
      </c>
      <c r="J28" s="1"/>
      <c r="K28" s="13"/>
    </row>
    <row r="29" spans="1:11" ht="14.4" customHeight="1" x14ac:dyDescent="0.3">
      <c r="A29" s="18"/>
      <c r="B29" s="8" t="s">
        <v>82</v>
      </c>
      <c r="C29" s="59">
        <f>SUM(C25,C27)</f>
        <v>7419.2301178787102</v>
      </c>
      <c r="D29" s="59">
        <f t="shared" ref="D29:I29" si="7">SUM(D25,D27)</f>
        <v>7715.4765630240809</v>
      </c>
      <c r="E29" s="59">
        <f t="shared" si="7"/>
        <v>7983.2585484834244</v>
      </c>
      <c r="F29" s="59">
        <f t="shared" si="7"/>
        <v>7648.4930379456928</v>
      </c>
      <c r="G29" s="59">
        <f t="shared" si="7"/>
        <v>8152.3272645958641</v>
      </c>
      <c r="H29" s="59">
        <f t="shared" si="7"/>
        <v>8423.0640663028425</v>
      </c>
      <c r="I29" s="59">
        <f t="shared" si="7"/>
        <v>8732.6318244090398</v>
      </c>
      <c r="J29" s="1"/>
      <c r="K29" s="13"/>
    </row>
    <row r="30" spans="1:11" ht="7.05" customHeight="1" x14ac:dyDescent="0.3">
      <c r="A30" s="18"/>
      <c r="B30" s="37"/>
      <c r="C30" s="38"/>
      <c r="D30" s="39"/>
      <c r="E30" s="40"/>
      <c r="F30" s="40"/>
      <c r="G30" s="40"/>
      <c r="H30" s="40"/>
      <c r="I30" s="40"/>
      <c r="J30" s="1"/>
      <c r="K30" s="13"/>
    </row>
    <row r="31" spans="1:11" ht="14.4" customHeight="1" x14ac:dyDescent="0.3">
      <c r="A31" s="18"/>
      <c r="B31" s="50" t="s">
        <v>84</v>
      </c>
      <c r="C31" s="1"/>
      <c r="D31" s="1"/>
      <c r="E31" s="1"/>
      <c r="F31" s="1"/>
      <c r="G31" s="1"/>
      <c r="H31" s="1"/>
      <c r="I31" s="49"/>
      <c r="J31" s="1"/>
      <c r="K31" s="13"/>
    </row>
    <row r="32" spans="1:11" ht="14.4" customHeight="1" x14ac:dyDescent="0.3">
      <c r="A32" s="18"/>
      <c r="B32" s="50" t="s">
        <v>83</v>
      </c>
      <c r="C32" s="1"/>
      <c r="D32" s="1"/>
      <c r="E32" s="1"/>
      <c r="F32" s="1"/>
      <c r="G32" s="1"/>
      <c r="H32" s="1"/>
      <c r="I32" s="49"/>
      <c r="J32" s="1"/>
      <c r="K32" s="13"/>
    </row>
    <row r="33" spans="1:11" ht="14.4" customHeight="1" x14ac:dyDescent="0.3">
      <c r="A33" s="18"/>
      <c r="B33" s="194" t="s">
        <v>206</v>
      </c>
      <c r="C33" s="194"/>
      <c r="D33" s="194"/>
      <c r="E33" s="194"/>
      <c r="F33" s="194"/>
      <c r="G33" s="194"/>
      <c r="H33" s="194"/>
      <c r="I33" s="194"/>
      <c r="J33" s="1"/>
      <c r="K33" s="13"/>
    </row>
    <row r="34" spans="1:11" ht="14.4" customHeight="1" x14ac:dyDescent="0.3">
      <c r="A34" s="18"/>
      <c r="B34" s="194"/>
      <c r="C34" s="194"/>
      <c r="D34" s="194"/>
      <c r="E34" s="194"/>
      <c r="F34" s="194"/>
      <c r="G34" s="194"/>
      <c r="H34" s="194"/>
      <c r="I34" s="194"/>
      <c r="J34" s="1"/>
      <c r="K34" s="13"/>
    </row>
    <row r="35" spans="1:11" ht="15.6" x14ac:dyDescent="0.3">
      <c r="A35" s="18"/>
      <c r="B35" s="195"/>
      <c r="C35" s="195"/>
      <c r="D35" s="195"/>
      <c r="E35" s="195"/>
      <c r="F35" s="195"/>
      <c r="G35" s="195"/>
      <c r="H35" s="195"/>
      <c r="I35" s="195"/>
      <c r="J35" s="1"/>
      <c r="K35" s="13"/>
    </row>
    <row r="36" spans="1:11" ht="15.6" x14ac:dyDescent="0.3">
      <c r="A36" s="18"/>
      <c r="B36" s="18"/>
      <c r="C36" s="1"/>
      <c r="D36" s="1"/>
      <c r="E36" s="1"/>
      <c r="F36" s="1"/>
      <c r="G36" s="1"/>
      <c r="H36" s="1"/>
      <c r="I36" s="1"/>
      <c r="J36" s="1"/>
      <c r="K36" s="13"/>
    </row>
  </sheetData>
  <mergeCells count="2">
    <mergeCell ref="A1:B1"/>
    <mergeCell ref="B33:I34"/>
  </mergeCells>
  <hyperlinks>
    <hyperlink ref="A1" location="Contents!A1" display="Back to contents" xr:uid="{59986F21-0DEF-486B-8E23-5A69E1EBA1EF}"/>
  </hyperlinks>
  <pageMargins left="0.7" right="0.7" top="0.75" bottom="0.75" header="0.3" footer="0.3"/>
  <pageSetup paperSize="9" scale="6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097BD-8169-442C-B3D1-972C64A7D41D}">
  <sheetPr>
    <tabColor theme="0"/>
    <pageSetUpPr fitToPage="1"/>
  </sheetPr>
  <dimension ref="A1:K36"/>
  <sheetViews>
    <sheetView zoomScaleNormal="100" workbookViewId="0">
      <selection activeCell="B10" sqref="B10"/>
    </sheetView>
  </sheetViews>
  <sheetFormatPr defaultColWidth="0" defaultRowHeight="14.4" customHeight="1" zeroHeight="1" x14ac:dyDescent="0.3"/>
  <cols>
    <col min="1" max="1" width="9.5546875" style="2" customWidth="1"/>
    <col min="2" max="2" width="47.88671875" style="2" bestFit="1" customWidth="1"/>
    <col min="3" max="9" width="10.77734375" style="2" customWidth="1"/>
    <col min="10" max="10" width="9.5546875" style="2" bestFit="1" customWidth="1"/>
  </cols>
  <sheetData>
    <row r="1" spans="1:11" x14ac:dyDescent="0.3">
      <c r="A1" s="186" t="s">
        <v>9</v>
      </c>
      <c r="B1" s="186"/>
      <c r="C1" s="1"/>
      <c r="D1" s="1"/>
      <c r="E1" s="1"/>
      <c r="F1" s="1"/>
      <c r="G1" s="1"/>
      <c r="H1" s="1"/>
      <c r="I1" s="1"/>
      <c r="J1" s="1"/>
      <c r="K1" s="13"/>
    </row>
    <row r="2" spans="1:11" x14ac:dyDescent="0.3">
      <c r="A2" s="1"/>
      <c r="B2" s="1"/>
      <c r="C2" s="1"/>
      <c r="D2" s="1"/>
      <c r="E2" s="1"/>
      <c r="F2" s="1"/>
      <c r="G2" s="1"/>
      <c r="H2" s="1"/>
      <c r="I2" s="1"/>
      <c r="J2" s="1"/>
      <c r="K2" s="13"/>
    </row>
    <row r="3" spans="1:11" ht="15.6" x14ac:dyDescent="0.3">
      <c r="A3" s="49">
        <v>3.4</v>
      </c>
      <c r="B3" s="18" t="s">
        <v>187</v>
      </c>
      <c r="C3" s="1"/>
      <c r="J3" s="1"/>
      <c r="K3" s="13"/>
    </row>
    <row r="4" spans="1:11" ht="15.6" x14ac:dyDescent="0.3">
      <c r="A4" s="18"/>
      <c r="B4" s="18"/>
      <c r="C4" s="1"/>
      <c r="J4" s="1"/>
      <c r="K4" s="13"/>
    </row>
    <row r="5" spans="1:11" ht="15.6" x14ac:dyDescent="0.3">
      <c r="A5" s="18"/>
      <c r="B5" s="18"/>
      <c r="C5" s="1"/>
      <c r="D5" s="1"/>
      <c r="E5" s="1"/>
      <c r="F5" s="1"/>
      <c r="G5" s="1"/>
      <c r="H5" s="1"/>
      <c r="I5" s="69" t="s">
        <v>78</v>
      </c>
      <c r="J5" s="1"/>
      <c r="K5" s="13"/>
    </row>
    <row r="6" spans="1:11" ht="30.6" customHeight="1" x14ac:dyDescent="0.3">
      <c r="A6" s="18"/>
      <c r="B6" s="47" t="s">
        <v>77</v>
      </c>
      <c r="C6" s="48" t="s">
        <v>10</v>
      </c>
      <c r="D6" s="48" t="s">
        <v>11</v>
      </c>
      <c r="E6" s="48" t="s">
        <v>12</v>
      </c>
      <c r="F6" s="48" t="s">
        <v>13</v>
      </c>
      <c r="G6" s="48" t="s">
        <v>14</v>
      </c>
      <c r="H6" s="48" t="s">
        <v>15</v>
      </c>
      <c r="I6" s="48" t="s">
        <v>16</v>
      </c>
      <c r="J6" s="1"/>
      <c r="K6" s="13"/>
    </row>
    <row r="7" spans="1:11" ht="7.05" customHeight="1" x14ac:dyDescent="0.3">
      <c r="A7" s="18"/>
      <c r="B7" s="8"/>
      <c r="C7" s="4"/>
      <c r="D7" s="4"/>
      <c r="E7" s="4"/>
      <c r="F7" s="4"/>
      <c r="G7" s="4"/>
      <c r="H7" s="4"/>
      <c r="I7" s="4"/>
      <c r="J7" s="1"/>
      <c r="K7" s="13"/>
    </row>
    <row r="8" spans="1:11" ht="14.4" customHeight="1" x14ac:dyDescent="0.3">
      <c r="A8" s="18"/>
      <c r="B8" s="4" t="s">
        <v>70</v>
      </c>
      <c r="C8" s="58">
        <v>3229.4810000000002</v>
      </c>
      <c r="D8" s="58">
        <v>3395.2440000000001</v>
      </c>
      <c r="E8" s="58">
        <v>3605.5444000000002</v>
      </c>
      <c r="F8" s="58">
        <v>3587.009315483926</v>
      </c>
      <c r="G8" s="58">
        <v>3888.1429495676366</v>
      </c>
      <c r="H8" s="58">
        <v>4025.983526551795</v>
      </c>
      <c r="I8" s="58">
        <v>4164.9041711293066</v>
      </c>
      <c r="J8" s="1"/>
      <c r="K8" s="13"/>
    </row>
    <row r="9" spans="1:11" ht="14.4" customHeight="1" x14ac:dyDescent="0.3">
      <c r="A9" s="18"/>
      <c r="B9" s="4" t="s">
        <v>205</v>
      </c>
      <c r="C9" s="58">
        <v>1007.95</v>
      </c>
      <c r="D9" s="58">
        <v>1079.2</v>
      </c>
      <c r="E9" s="58">
        <v>1045.95</v>
      </c>
      <c r="F9" s="58">
        <v>1102.5246956470824</v>
      </c>
      <c r="G9" s="58">
        <v>1123.342800906046</v>
      </c>
      <c r="H9" s="58">
        <v>1144.463206352842</v>
      </c>
      <c r="I9" s="58">
        <v>1166.6198483598685</v>
      </c>
      <c r="J9" s="1"/>
      <c r="K9" s="13"/>
    </row>
    <row r="10" spans="1:11" ht="14.4" customHeight="1" x14ac:dyDescent="0.3">
      <c r="A10" s="18"/>
      <c r="B10" s="4" t="s">
        <v>64</v>
      </c>
      <c r="C10" s="58">
        <v>1092.0442459199999</v>
      </c>
      <c r="D10" s="58">
        <v>1019.516915</v>
      </c>
      <c r="E10" s="58">
        <v>1077.188277</v>
      </c>
      <c r="F10" s="58">
        <v>1071.6507565761997</v>
      </c>
      <c r="G10" s="58">
        <v>1161.6170929900238</v>
      </c>
      <c r="H10" s="58">
        <v>1202.7981844286019</v>
      </c>
      <c r="I10" s="58">
        <v>1244.3019556128306</v>
      </c>
      <c r="J10" s="1"/>
      <c r="K10" s="13"/>
    </row>
    <row r="11" spans="1:11" ht="14.4" customHeight="1" x14ac:dyDescent="0.3">
      <c r="A11" s="18"/>
      <c r="B11" s="4" t="s">
        <v>80</v>
      </c>
      <c r="C11" s="58">
        <f>SUM(C12:C13)</f>
        <v>1368.8050000000001</v>
      </c>
      <c r="D11" s="58">
        <f t="shared" ref="D11:I11" si="0">SUM(D12:D13)</f>
        <v>1441.0072229212367</v>
      </c>
      <c r="E11" s="58">
        <f t="shared" si="0"/>
        <v>1490.5455309178712</v>
      </c>
      <c r="F11" s="58">
        <f t="shared" si="0"/>
        <v>1572.6795722572763</v>
      </c>
      <c r="G11" s="58">
        <f t="shared" si="0"/>
        <v>1663.9565691716905</v>
      </c>
      <c r="H11" s="58">
        <f t="shared" si="0"/>
        <v>1757.2246789198775</v>
      </c>
      <c r="I11" s="58">
        <f t="shared" si="0"/>
        <v>1851.6707656839833</v>
      </c>
      <c r="J11" s="1"/>
      <c r="K11" s="13"/>
    </row>
    <row r="12" spans="1:11" ht="12" customHeight="1" x14ac:dyDescent="0.3">
      <c r="A12" s="18"/>
      <c r="B12" s="66" t="s">
        <v>85</v>
      </c>
      <c r="C12" s="67">
        <v>1628.6210000000001</v>
      </c>
      <c r="D12" s="67">
        <v>1723.8128852903135</v>
      </c>
      <c r="E12" s="67">
        <v>1793.7942991952355</v>
      </c>
      <c r="F12" s="67">
        <v>1889.511163000293</v>
      </c>
      <c r="G12" s="67">
        <v>1990.3354786579889</v>
      </c>
      <c r="H12" s="67">
        <v>2096.5397797991791</v>
      </c>
      <c r="I12" s="67">
        <v>2208.411142449263</v>
      </c>
      <c r="J12" s="1"/>
      <c r="K12" s="13"/>
    </row>
    <row r="13" spans="1:11" ht="12" customHeight="1" x14ac:dyDescent="0.3">
      <c r="A13" s="18"/>
      <c r="B13" s="66" t="s">
        <v>65</v>
      </c>
      <c r="C13" s="67">
        <v>-259.81599999999997</v>
      </c>
      <c r="D13" s="67">
        <v>-282.80566236907674</v>
      </c>
      <c r="E13" s="67">
        <v>-303.24876827736421</v>
      </c>
      <c r="F13" s="67">
        <v>-316.8315907430167</v>
      </c>
      <c r="G13" s="67">
        <v>-326.37890948629843</v>
      </c>
      <c r="H13" s="67">
        <v>-339.31510087930161</v>
      </c>
      <c r="I13" s="67">
        <v>-356.74037676527973</v>
      </c>
      <c r="J13" s="1"/>
      <c r="K13" s="13"/>
    </row>
    <row r="14" spans="1:11" ht="14.4" customHeight="1" x14ac:dyDescent="0.3">
      <c r="A14" s="18"/>
      <c r="B14" s="4" t="s">
        <v>66</v>
      </c>
      <c r="C14" s="58">
        <v>-4.7370000000000001</v>
      </c>
      <c r="D14" s="58">
        <v>-4.92</v>
      </c>
      <c r="E14" s="58">
        <v>-4.92</v>
      </c>
      <c r="F14" s="58">
        <v>-4.92</v>
      </c>
      <c r="G14" s="58">
        <v>-4.92</v>
      </c>
      <c r="H14" s="58">
        <v>-4.92</v>
      </c>
      <c r="I14" s="58">
        <v>-4.92</v>
      </c>
      <c r="J14" s="1"/>
      <c r="K14" s="13"/>
    </row>
    <row r="15" spans="1:11" ht="14.4" customHeight="1" x14ac:dyDescent="0.3">
      <c r="A15" s="18"/>
      <c r="B15" s="4" t="s">
        <v>67</v>
      </c>
      <c r="C15" s="58">
        <v>-23.77</v>
      </c>
      <c r="D15" s="58">
        <v>94.207999999999998</v>
      </c>
      <c r="E15" s="58">
        <v>47.103999999999999</v>
      </c>
      <c r="F15" s="58">
        <v>0</v>
      </c>
      <c r="G15" s="58">
        <v>0</v>
      </c>
      <c r="H15" s="58">
        <v>0</v>
      </c>
      <c r="I15" s="58">
        <v>0</v>
      </c>
      <c r="J15" s="1"/>
      <c r="K15" s="13"/>
    </row>
    <row r="16" spans="1:11" ht="14.4" customHeight="1" x14ac:dyDescent="0.3">
      <c r="A16" s="18"/>
      <c r="B16" s="4" t="s">
        <v>68</v>
      </c>
      <c r="C16" s="58">
        <v>1.4419999999999999</v>
      </c>
      <c r="D16" s="58">
        <v>-1.5329999999999999</v>
      </c>
      <c r="E16" s="58">
        <v>0</v>
      </c>
      <c r="F16" s="58">
        <v>0</v>
      </c>
      <c r="G16" s="58">
        <v>0</v>
      </c>
      <c r="H16" s="58">
        <v>0</v>
      </c>
      <c r="I16" s="58">
        <v>0</v>
      </c>
      <c r="J16" s="1"/>
      <c r="K16" s="13"/>
    </row>
    <row r="17" spans="1:11" ht="14.4" customHeight="1" x14ac:dyDescent="0.3">
      <c r="A17" s="18"/>
      <c r="B17" s="8" t="s">
        <v>81</v>
      </c>
      <c r="C17" s="59">
        <f>SUM(C14:C16,C8:C11)</f>
        <v>6671.2152459200006</v>
      </c>
      <c r="D17" s="59">
        <f t="shared" ref="D17:I17" si="1">SUM(D14:D16,D8:D11)</f>
        <v>7022.7231379212371</v>
      </c>
      <c r="E17" s="59">
        <f t="shared" si="1"/>
        <v>7261.4122079178724</v>
      </c>
      <c r="F17" s="59">
        <f t="shared" si="1"/>
        <v>7328.9443399644842</v>
      </c>
      <c r="G17" s="59">
        <f t="shared" si="1"/>
        <v>7832.1394126353971</v>
      </c>
      <c r="H17" s="59">
        <f t="shared" si="1"/>
        <v>8125.5495962531168</v>
      </c>
      <c r="I17" s="59">
        <f t="shared" si="1"/>
        <v>8422.5767407859876</v>
      </c>
      <c r="J17" s="1"/>
      <c r="K17" s="13"/>
    </row>
    <row r="18" spans="1:11" ht="14.4" customHeight="1" x14ac:dyDescent="0.3">
      <c r="A18" s="18"/>
      <c r="B18" s="8"/>
      <c r="C18" s="59"/>
      <c r="D18" s="59"/>
      <c r="E18" s="59"/>
      <c r="F18" s="59"/>
      <c r="G18" s="59"/>
      <c r="H18" s="59"/>
      <c r="I18" s="59"/>
      <c r="J18" s="1"/>
      <c r="K18" s="13"/>
    </row>
    <row r="19" spans="1:11" ht="14.4" customHeight="1" x14ac:dyDescent="0.3">
      <c r="A19" s="18"/>
      <c r="B19" s="4" t="s">
        <v>69</v>
      </c>
      <c r="C19" s="58">
        <v>-345.42731455000001</v>
      </c>
      <c r="D19" s="58">
        <f>D17*D20</f>
        <v>-436.8872681688847</v>
      </c>
      <c r="E19" s="58">
        <f t="shared" ref="E19:I19" si="2">E17*E20</f>
        <v>-451.73623966962782</v>
      </c>
      <c r="F19" s="58">
        <f t="shared" si="2"/>
        <v>-455.93744881656818</v>
      </c>
      <c r="G19" s="58">
        <f t="shared" si="2"/>
        <v>-487.24147666128715</v>
      </c>
      <c r="H19" s="58">
        <f t="shared" si="2"/>
        <v>-505.4946771728512</v>
      </c>
      <c r="I19" s="58">
        <f t="shared" si="2"/>
        <v>-523.97289070888735</v>
      </c>
      <c r="J19" s="1"/>
      <c r="K19" s="13"/>
    </row>
    <row r="20" spans="1:11" ht="12" customHeight="1" x14ac:dyDescent="0.3">
      <c r="A20" s="18"/>
      <c r="B20" s="66" t="s">
        <v>71</v>
      </c>
      <c r="C20" s="68">
        <f>C19/C17</f>
        <v>-5.1778769207193147E-2</v>
      </c>
      <c r="D20" s="68">
        <v>-6.2210521415800198E-2</v>
      </c>
      <c r="E20" s="68">
        <v>-6.2210521415800198E-2</v>
      </c>
      <c r="F20" s="68">
        <v>-6.2210521415800198E-2</v>
      </c>
      <c r="G20" s="68">
        <v>-6.2210521415800198E-2</v>
      </c>
      <c r="H20" s="68">
        <v>-6.2210521415800198E-2</v>
      </c>
      <c r="I20" s="68">
        <v>-6.2210521415800198E-2</v>
      </c>
      <c r="J20" s="1"/>
      <c r="K20" s="13"/>
    </row>
    <row r="21" spans="1:11" ht="14.4" customHeight="1" x14ac:dyDescent="0.3">
      <c r="A21" s="18"/>
      <c r="B21" s="8" t="s">
        <v>72</v>
      </c>
      <c r="C21" s="59">
        <f>C17+C19</f>
        <v>6325.7879313700005</v>
      </c>
      <c r="D21" s="59">
        <f t="shared" ref="D21:I21" si="3">D17+D19</f>
        <v>6585.8358697523527</v>
      </c>
      <c r="E21" s="59">
        <f t="shared" si="3"/>
        <v>6809.6759682482443</v>
      </c>
      <c r="F21" s="59">
        <f t="shared" si="3"/>
        <v>6873.0068911479157</v>
      </c>
      <c r="G21" s="59">
        <f t="shared" si="3"/>
        <v>7344.8979359741097</v>
      </c>
      <c r="H21" s="59">
        <f t="shared" si="3"/>
        <v>7620.0549190802658</v>
      </c>
      <c r="I21" s="59">
        <f t="shared" si="3"/>
        <v>7898.6038500771001</v>
      </c>
      <c r="J21" s="1"/>
      <c r="K21" s="13"/>
    </row>
    <row r="22" spans="1:11" ht="14.4" customHeight="1" x14ac:dyDescent="0.3">
      <c r="A22" s="18"/>
      <c r="B22" s="8"/>
      <c r="C22" s="59"/>
      <c r="D22" s="59"/>
      <c r="E22" s="59"/>
      <c r="F22" s="59"/>
      <c r="G22" s="59"/>
      <c r="H22" s="59"/>
      <c r="I22" s="59"/>
      <c r="J22" s="1"/>
      <c r="K22" s="13"/>
    </row>
    <row r="23" spans="1:11" ht="14.4" customHeight="1" x14ac:dyDescent="0.3">
      <c r="A23" s="18"/>
      <c r="B23" s="4" t="s">
        <v>73</v>
      </c>
      <c r="C23" s="58">
        <v>-199.11680565</v>
      </c>
      <c r="D23" s="58">
        <f>D17*D24</f>
        <v>-210.09910835572168</v>
      </c>
      <c r="E23" s="58">
        <f t="shared" ref="E23:I23" si="4">E17*E24</f>
        <v>-217.23997946735057</v>
      </c>
      <c r="F23" s="58">
        <f t="shared" si="4"/>
        <v>-219.26034114895231</v>
      </c>
      <c r="G23" s="58">
        <f t="shared" si="4"/>
        <v>-234.31444965086391</v>
      </c>
      <c r="H23" s="58">
        <f t="shared" si="4"/>
        <v>-243.09241465815575</v>
      </c>
      <c r="I23" s="58">
        <f t="shared" si="4"/>
        <v>-251.97858843978008</v>
      </c>
      <c r="J23" s="1"/>
      <c r="K23" s="13"/>
    </row>
    <row r="24" spans="1:11" ht="12" customHeight="1" x14ac:dyDescent="0.3">
      <c r="A24" s="18"/>
      <c r="B24" s="66" t="s">
        <v>71</v>
      </c>
      <c r="C24" s="68">
        <f>C23/C17</f>
        <v>-2.9847156523959615E-2</v>
      </c>
      <c r="D24" s="68">
        <v>-2.9917042752437499E-2</v>
      </c>
      <c r="E24" s="68">
        <v>-2.9917042752437499E-2</v>
      </c>
      <c r="F24" s="68">
        <v>-2.9917042752437499E-2</v>
      </c>
      <c r="G24" s="68">
        <v>-2.9917042752437499E-2</v>
      </c>
      <c r="H24" s="68">
        <v>-2.9917042752437499E-2</v>
      </c>
      <c r="I24" s="68">
        <v>-2.9917042752437499E-2</v>
      </c>
      <c r="J24" s="1"/>
      <c r="K24" s="13"/>
    </row>
    <row r="25" spans="1:11" ht="14.4" customHeight="1" x14ac:dyDescent="0.3">
      <c r="A25" s="18"/>
      <c r="B25" s="8" t="s">
        <v>74</v>
      </c>
      <c r="C25" s="59">
        <f>SUM(C21,C23)</f>
        <v>6126.6711257200004</v>
      </c>
      <c r="D25" s="59">
        <f t="shared" ref="D25:I25" si="5">SUM(D21,D23)</f>
        <v>6375.7367613966308</v>
      </c>
      <c r="E25" s="59">
        <f t="shared" si="5"/>
        <v>6592.4359887808941</v>
      </c>
      <c r="F25" s="59">
        <f t="shared" si="5"/>
        <v>6653.746549998963</v>
      </c>
      <c r="G25" s="59">
        <f t="shared" si="5"/>
        <v>7110.5834863232458</v>
      </c>
      <c r="H25" s="59">
        <f t="shared" si="5"/>
        <v>7376.9625044221102</v>
      </c>
      <c r="I25" s="59">
        <f t="shared" si="5"/>
        <v>7646.6252616373204</v>
      </c>
      <c r="J25" s="1"/>
      <c r="K25" s="13"/>
    </row>
    <row r="26" spans="1:11" ht="14.4" customHeight="1" x14ac:dyDescent="0.3">
      <c r="A26" s="18"/>
      <c r="B26" s="8"/>
      <c r="C26" s="59"/>
      <c r="D26" s="59"/>
      <c r="E26" s="59"/>
      <c r="F26" s="59"/>
      <c r="G26" s="59"/>
      <c r="H26" s="59"/>
      <c r="I26" s="59"/>
      <c r="J26" s="1"/>
      <c r="K26" s="13"/>
    </row>
    <row r="27" spans="1:11" ht="14.4" customHeight="1" x14ac:dyDescent="0.3">
      <c r="A27" s="18"/>
      <c r="B27" s="4" t="s">
        <v>75</v>
      </c>
      <c r="C27" s="58">
        <v>1292.55899215871</v>
      </c>
      <c r="D27" s="58">
        <f>D25*D28</f>
        <v>1339.7398016274501</v>
      </c>
      <c r="E27" s="58">
        <f t="shared" ref="E27:I27" si="6">E25*E28</f>
        <v>1390.82255970253</v>
      </c>
      <c r="F27" s="58">
        <f t="shared" si="6"/>
        <v>1403.7574007590374</v>
      </c>
      <c r="G27" s="58">
        <f t="shared" si="6"/>
        <v>1500.1374214716445</v>
      </c>
      <c r="H27" s="58">
        <f t="shared" si="6"/>
        <v>1556.3360631321505</v>
      </c>
      <c r="I27" s="58">
        <f t="shared" si="6"/>
        <v>1613.2274833726744</v>
      </c>
      <c r="J27" s="1"/>
      <c r="K27" s="13"/>
    </row>
    <row r="28" spans="1:11" ht="12" customHeight="1" x14ac:dyDescent="0.3">
      <c r="A28" s="18"/>
      <c r="B28" s="66" t="s">
        <v>76</v>
      </c>
      <c r="C28" s="68">
        <f>C27/C25</f>
        <v>0.21097247846918007</v>
      </c>
      <c r="D28" s="68">
        <v>0.21013097807601058</v>
      </c>
      <c r="E28" s="68">
        <v>0.21097247846918082</v>
      </c>
      <c r="F28" s="68">
        <v>0.21097247846918007</v>
      </c>
      <c r="G28" s="68">
        <v>0.21097247846918094</v>
      </c>
      <c r="H28" s="68">
        <v>0.21097247846918116</v>
      </c>
      <c r="I28" s="68">
        <v>0.21097247846918091</v>
      </c>
      <c r="J28" s="1"/>
      <c r="K28" s="13"/>
    </row>
    <row r="29" spans="1:11" ht="14.4" customHeight="1" x14ac:dyDescent="0.3">
      <c r="A29" s="18"/>
      <c r="B29" s="8" t="s">
        <v>82</v>
      </c>
      <c r="C29" s="59">
        <f>SUM(C25,C27)</f>
        <v>7419.2301178787102</v>
      </c>
      <c r="D29" s="59">
        <f t="shared" ref="D29:I29" si="7">SUM(D25,D27)</f>
        <v>7715.4765630240809</v>
      </c>
      <c r="E29" s="59">
        <f t="shared" si="7"/>
        <v>7983.2585484834244</v>
      </c>
      <c r="F29" s="59">
        <f t="shared" si="7"/>
        <v>8057.5039507580004</v>
      </c>
      <c r="G29" s="59">
        <f t="shared" si="7"/>
        <v>8610.7209077948901</v>
      </c>
      <c r="H29" s="59">
        <f t="shared" si="7"/>
        <v>8933.2985675542604</v>
      </c>
      <c r="I29" s="59">
        <f t="shared" si="7"/>
        <v>9259.8527450099955</v>
      </c>
      <c r="J29" s="1"/>
      <c r="K29" s="13"/>
    </row>
    <row r="30" spans="1:11" ht="7.05" customHeight="1" x14ac:dyDescent="0.3">
      <c r="A30" s="18"/>
      <c r="B30" s="37"/>
      <c r="C30" s="38"/>
      <c r="D30" s="39"/>
      <c r="E30" s="40"/>
      <c r="F30" s="40"/>
      <c r="G30" s="40"/>
      <c r="H30" s="40"/>
      <c r="I30" s="40"/>
      <c r="J30" s="1"/>
      <c r="K30" s="13"/>
    </row>
    <row r="31" spans="1:11" ht="14.4" customHeight="1" x14ac:dyDescent="0.3">
      <c r="A31" s="18"/>
      <c r="B31" s="50" t="s">
        <v>84</v>
      </c>
      <c r="C31" s="1"/>
      <c r="D31" s="1"/>
      <c r="E31" s="1"/>
      <c r="F31" s="1"/>
      <c r="G31" s="1"/>
      <c r="H31" s="1"/>
      <c r="I31" s="49"/>
      <c r="J31" s="1"/>
      <c r="K31" s="13"/>
    </row>
    <row r="32" spans="1:11" ht="14.4" customHeight="1" x14ac:dyDescent="0.3">
      <c r="A32" s="18"/>
      <c r="B32" s="50" t="s">
        <v>83</v>
      </c>
      <c r="C32" s="1"/>
      <c r="D32" s="1"/>
      <c r="E32" s="1"/>
      <c r="F32" s="1"/>
      <c r="G32" s="1"/>
      <c r="H32" s="1"/>
      <c r="I32" s="49"/>
      <c r="J32" s="1"/>
      <c r="K32" s="13"/>
    </row>
    <row r="33" spans="1:11" ht="14.4" customHeight="1" x14ac:dyDescent="0.3">
      <c r="A33" s="18"/>
      <c r="B33" s="194" t="s">
        <v>206</v>
      </c>
      <c r="C33" s="194"/>
      <c r="D33" s="194"/>
      <c r="E33" s="194"/>
      <c r="F33" s="194"/>
      <c r="G33" s="194"/>
      <c r="H33" s="194"/>
      <c r="I33" s="194"/>
      <c r="J33" s="1"/>
      <c r="K33" s="13"/>
    </row>
    <row r="34" spans="1:11" ht="14.4" customHeight="1" x14ac:dyDescent="0.3">
      <c r="A34" s="18"/>
      <c r="B34" s="194"/>
      <c r="C34" s="194"/>
      <c r="D34" s="194"/>
      <c r="E34" s="194"/>
      <c r="F34" s="194"/>
      <c r="G34" s="194"/>
      <c r="H34" s="194"/>
      <c r="I34" s="194"/>
      <c r="J34" s="1"/>
      <c r="K34" s="13"/>
    </row>
    <row r="35" spans="1:11" ht="15.6" x14ac:dyDescent="0.3">
      <c r="A35" s="18"/>
      <c r="B35" s="195"/>
      <c r="C35" s="195"/>
      <c r="D35" s="195"/>
      <c r="E35" s="195"/>
      <c r="F35" s="195"/>
      <c r="G35" s="195"/>
      <c r="H35" s="195"/>
      <c r="I35" s="195"/>
      <c r="J35" s="1"/>
      <c r="K35" s="13"/>
    </row>
    <row r="36" spans="1:11" ht="15.6" x14ac:dyDescent="0.3">
      <c r="A36" s="18"/>
      <c r="B36" s="18"/>
      <c r="C36" s="1"/>
      <c r="D36" s="1"/>
      <c r="E36" s="1"/>
      <c r="F36" s="1"/>
      <c r="G36" s="1"/>
      <c r="H36" s="1"/>
      <c r="I36" s="1"/>
      <c r="J36" s="1"/>
      <c r="K36" s="13"/>
    </row>
  </sheetData>
  <mergeCells count="2">
    <mergeCell ref="A1:B1"/>
    <mergeCell ref="B33:I34"/>
  </mergeCells>
  <hyperlinks>
    <hyperlink ref="A1" location="Contents!A1" display="Back to contents" xr:uid="{80B4A393-4C97-4769-84FC-DFB0032F5732}"/>
  </hyperlinks>
  <pageMargins left="0.7" right="0.7" top="0.75" bottom="0.75" header="0.3" footer="0.3"/>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B45FA-EAB6-4597-AF81-B7DEFB2337B6}">
  <sheetPr>
    <tabColor theme="2"/>
    <pageSetUpPr fitToPage="1"/>
  </sheetPr>
  <dimension ref="A1:AD122"/>
  <sheetViews>
    <sheetView zoomScaleNormal="100" workbookViewId="0">
      <selection sqref="A1:B1"/>
    </sheetView>
  </sheetViews>
  <sheetFormatPr defaultColWidth="0" defaultRowHeight="14.4" customHeight="1" zeroHeight="1" x14ac:dyDescent="0.3"/>
  <cols>
    <col min="1" max="1" width="9.5546875" style="2" customWidth="1"/>
    <col min="2" max="2" width="47.88671875" style="2" bestFit="1" customWidth="1"/>
    <col min="3" max="9" width="10.77734375" style="2" customWidth="1"/>
    <col min="10" max="10" width="9.5546875" style="2" bestFit="1" customWidth="1"/>
    <col min="11" max="12" width="0" hidden="1" customWidth="1"/>
    <col min="13" max="13" width="37.33203125" hidden="1" customWidth="1"/>
    <col min="14" max="15" width="11.21875" hidden="1" customWidth="1"/>
    <col min="16" max="16" width="22.5546875" hidden="1" customWidth="1"/>
    <col min="17" max="19" width="0" hidden="1" customWidth="1"/>
    <col min="20" max="20" width="13.33203125" hidden="1" customWidth="1"/>
    <col min="21" max="21" width="12" hidden="1" customWidth="1"/>
    <col min="22" max="22" width="12.6640625" hidden="1" customWidth="1"/>
    <col min="23" max="23" width="11.5546875" hidden="1" customWidth="1"/>
    <col min="24" max="24" width="15.44140625" hidden="1" customWidth="1"/>
    <col min="25" max="25" width="0" hidden="1" customWidth="1"/>
    <col min="26" max="26" width="13.109375" hidden="1" customWidth="1"/>
    <col min="27" max="30" width="0" hidden="1" customWidth="1"/>
    <col min="31" max="16384" width="8.88671875" hidden="1"/>
  </cols>
  <sheetData>
    <row r="1" spans="1:27" x14ac:dyDescent="0.3">
      <c r="A1" s="186" t="s">
        <v>9</v>
      </c>
      <c r="B1" s="186"/>
      <c r="C1" s="1"/>
      <c r="D1" s="1"/>
      <c r="E1" s="1"/>
      <c r="F1" s="1"/>
      <c r="G1" s="1"/>
      <c r="H1" s="1"/>
      <c r="I1" s="1"/>
      <c r="J1" s="1"/>
      <c r="K1" s="13"/>
    </row>
    <row r="2" spans="1:27" x14ac:dyDescent="0.3">
      <c r="A2" s="1"/>
      <c r="B2" s="1"/>
      <c r="C2" s="1"/>
      <c r="D2" s="1"/>
      <c r="K2" s="13"/>
    </row>
    <row r="3" spans="1:27" ht="15.6" x14ac:dyDescent="0.3">
      <c r="A3" s="49"/>
      <c r="B3" s="18"/>
      <c r="C3" s="1"/>
      <c r="K3" s="13"/>
    </row>
    <row r="4" spans="1:27" x14ac:dyDescent="0.3">
      <c r="K4" s="13"/>
    </row>
    <row r="5" spans="1:27" x14ac:dyDescent="0.3">
      <c r="K5" s="13"/>
    </row>
    <row r="6" spans="1:27" ht="30.6" customHeight="1" x14ac:dyDescent="0.3">
      <c r="K6" s="13"/>
    </row>
    <row r="7" spans="1:27" ht="7.05" customHeight="1" x14ac:dyDescent="0.3">
      <c r="K7" s="13"/>
    </row>
    <row r="8" spans="1:27" ht="14.4" customHeight="1" x14ac:dyDescent="0.3">
      <c r="K8" s="13"/>
      <c r="L8" s="1" t="s">
        <v>183</v>
      </c>
      <c r="N8" s="78"/>
      <c r="O8" s="78"/>
      <c r="P8" s="78"/>
      <c r="Q8" s="78"/>
      <c r="R8" s="78"/>
      <c r="S8" s="78"/>
      <c r="T8" s="187" t="s">
        <v>92</v>
      </c>
      <c r="U8" s="78"/>
      <c r="V8" s="78"/>
      <c r="W8" s="78"/>
      <c r="X8" s="78"/>
      <c r="Y8" s="78"/>
      <c r="Z8" s="78"/>
      <c r="AA8" s="1"/>
    </row>
    <row r="9" spans="1:27" ht="14.4" customHeight="1" x14ac:dyDescent="0.3">
      <c r="K9" s="13"/>
      <c r="L9" s="2"/>
      <c r="M9" s="79"/>
      <c r="N9" s="80"/>
      <c r="O9" s="80"/>
      <c r="P9" s="80"/>
      <c r="Q9" s="78"/>
      <c r="R9" s="78"/>
      <c r="S9" s="78"/>
      <c r="T9" s="187"/>
      <c r="U9" s="187" t="s">
        <v>93</v>
      </c>
      <c r="V9" s="78"/>
      <c r="W9" s="78"/>
      <c r="X9" s="78"/>
      <c r="Y9" s="78"/>
      <c r="Z9" s="78"/>
      <c r="AA9" s="1"/>
    </row>
    <row r="10" spans="1:27" ht="14.4" customHeight="1" x14ac:dyDescent="0.3">
      <c r="K10" s="13"/>
      <c r="L10" s="2"/>
      <c r="M10" s="1"/>
      <c r="N10" s="81" t="s">
        <v>92</v>
      </c>
      <c r="O10" s="81" t="s">
        <v>92</v>
      </c>
      <c r="P10" s="81" t="s">
        <v>92</v>
      </c>
      <c r="Q10" s="81" t="s">
        <v>92</v>
      </c>
      <c r="R10" s="81" t="s">
        <v>92</v>
      </c>
      <c r="S10" s="81" t="s">
        <v>92</v>
      </c>
      <c r="T10" s="188"/>
      <c r="U10" s="188"/>
      <c r="V10" s="81" t="s">
        <v>94</v>
      </c>
      <c r="W10" s="81" t="s">
        <v>94</v>
      </c>
      <c r="X10" s="81" t="s">
        <v>94</v>
      </c>
      <c r="Y10" s="81" t="s">
        <v>94</v>
      </c>
      <c r="Z10" s="81" t="s">
        <v>94</v>
      </c>
      <c r="AA10" s="1"/>
    </row>
    <row r="11" spans="1:27" ht="14.4" customHeight="1" x14ac:dyDescent="0.3">
      <c r="K11" s="13"/>
      <c r="L11" s="2"/>
      <c r="M11" s="82"/>
      <c r="N11" s="83" t="s">
        <v>95</v>
      </c>
      <c r="O11" s="83" t="s">
        <v>96</v>
      </c>
      <c r="P11" s="83" t="s">
        <v>97</v>
      </c>
      <c r="Q11" s="83" t="s">
        <v>98</v>
      </c>
      <c r="R11" s="83" t="s">
        <v>99</v>
      </c>
      <c r="S11" s="83" t="s">
        <v>100</v>
      </c>
      <c r="T11" s="83" t="s">
        <v>10</v>
      </c>
      <c r="U11" s="83" t="s">
        <v>11</v>
      </c>
      <c r="V11" s="83" t="s">
        <v>12</v>
      </c>
      <c r="W11" s="83" t="s">
        <v>13</v>
      </c>
      <c r="X11" s="83" t="s">
        <v>14</v>
      </c>
      <c r="Y11" s="83" t="s">
        <v>15</v>
      </c>
      <c r="Z11" s="83" t="s">
        <v>16</v>
      </c>
      <c r="AA11" s="83" t="s">
        <v>101</v>
      </c>
    </row>
    <row r="12" spans="1:27" ht="14.4" customHeight="1" x14ac:dyDescent="0.3">
      <c r="K12" s="13"/>
      <c r="L12" s="2"/>
      <c r="M12" s="84"/>
      <c r="N12" s="85"/>
      <c r="O12" s="85"/>
      <c r="P12" s="85"/>
      <c r="Q12" s="85"/>
      <c r="R12" s="85"/>
      <c r="S12" s="85"/>
      <c r="T12" s="85"/>
      <c r="U12" s="85"/>
      <c r="V12" s="85"/>
      <c r="W12" s="85"/>
      <c r="X12" s="85"/>
      <c r="Y12" s="85"/>
      <c r="Z12" s="85"/>
      <c r="AA12" s="86"/>
    </row>
    <row r="13" spans="1:27" ht="14.4" customHeight="1" x14ac:dyDescent="0.3">
      <c r="K13" s="13"/>
      <c r="L13" s="2"/>
      <c r="M13" s="87" t="s">
        <v>102</v>
      </c>
      <c r="N13" s="88">
        <f t="shared" ref="N13:Z13" si="0">N29</f>
        <v>953027.16999509046</v>
      </c>
      <c r="O13" s="88">
        <f t="shared" si="0"/>
        <v>1011626.2459599295</v>
      </c>
      <c r="P13" s="88">
        <f t="shared" si="0"/>
        <v>1074324.7831914925</v>
      </c>
      <c r="Q13" s="88">
        <f t="shared" si="0"/>
        <v>1134181.2243579652</v>
      </c>
      <c r="R13" s="88">
        <f t="shared" si="0"/>
        <v>1187035.9774848334</v>
      </c>
      <c r="S13" s="88">
        <f t="shared" si="0"/>
        <v>1267410.7401731694</v>
      </c>
      <c r="T13" s="88">
        <f t="shared" si="0"/>
        <v>1342792.392523794</v>
      </c>
      <c r="U13" s="88">
        <f t="shared" si="0"/>
        <v>1441007.2229212369</v>
      </c>
      <c r="V13" s="88">
        <f t="shared" si="0"/>
        <v>1490545.5309178713</v>
      </c>
      <c r="W13" s="88">
        <f t="shared" si="0"/>
        <v>1504293.6097647371</v>
      </c>
      <c r="X13" s="88">
        <f t="shared" si="0"/>
        <v>1522988.4815280698</v>
      </c>
      <c r="Y13" s="88">
        <f t="shared" si="0"/>
        <v>1539250.0195255741</v>
      </c>
      <c r="Z13" s="88">
        <f t="shared" si="0"/>
        <v>1552024.5877536284</v>
      </c>
      <c r="AA13" s="89"/>
    </row>
    <row r="14" spans="1:27" ht="14.4" customHeight="1" x14ac:dyDescent="0.3">
      <c r="K14" s="13"/>
      <c r="L14" s="2"/>
      <c r="M14" s="90"/>
      <c r="N14" s="77"/>
      <c r="O14" s="77"/>
      <c r="P14" s="77"/>
      <c r="Q14" s="77"/>
      <c r="R14" s="91"/>
      <c r="S14" s="91"/>
      <c r="T14" s="91"/>
      <c r="U14" s="91"/>
      <c r="V14" s="91"/>
      <c r="W14" s="91"/>
      <c r="X14" s="91"/>
      <c r="Y14" s="91"/>
      <c r="Z14" s="91"/>
      <c r="AA14" s="86"/>
    </row>
    <row r="15" spans="1:27" ht="14.4" customHeight="1" x14ac:dyDescent="0.3">
      <c r="K15" s="13"/>
      <c r="L15" s="2"/>
      <c r="M15" s="90"/>
      <c r="N15" s="77"/>
      <c r="O15" s="77"/>
      <c r="P15" s="77"/>
      <c r="Q15" s="77"/>
      <c r="R15" s="91"/>
      <c r="S15" s="91"/>
      <c r="T15" s="91"/>
      <c r="U15" s="91"/>
      <c r="V15" s="91"/>
      <c r="W15" s="91"/>
      <c r="X15" s="91"/>
      <c r="Y15" s="91"/>
      <c r="Z15" s="91"/>
      <c r="AA15" s="86"/>
    </row>
    <row r="16" spans="1:27" ht="14.4" customHeight="1" x14ac:dyDescent="0.3">
      <c r="K16" s="13"/>
      <c r="L16" s="2"/>
      <c r="M16" s="90" t="s">
        <v>103</v>
      </c>
      <c r="N16" s="91">
        <v>1160929.0477100001</v>
      </c>
      <c r="O16" s="91">
        <v>1173332.8046850001</v>
      </c>
      <c r="P16" s="91">
        <v>1183211.72887</v>
      </c>
      <c r="Q16" s="91">
        <v>1192504.3117879999</v>
      </c>
      <c r="R16" s="91">
        <v>1207018.0551849999</v>
      </c>
      <c r="S16" s="91">
        <v>1215499.6577999999</v>
      </c>
      <c r="T16" s="91">
        <v>1224141.3951950001</v>
      </c>
      <c r="U16" s="91">
        <v>1238219.3057550001</v>
      </c>
      <c r="V16" s="91">
        <v>1244634.4883855185</v>
      </c>
      <c r="W16" s="91">
        <f t="shared" ref="W16:Z17" si="1">V16+(V16*W19)</f>
        <v>1254591.5642926027</v>
      </c>
      <c r="X16" s="91">
        <f t="shared" si="1"/>
        <v>1264628.2968069436</v>
      </c>
      <c r="Y16" s="91">
        <f t="shared" si="1"/>
        <v>1274745.3231813991</v>
      </c>
      <c r="Z16" s="91">
        <f t="shared" si="1"/>
        <v>1284943.2857668502</v>
      </c>
      <c r="AA16" s="86"/>
    </row>
    <row r="17" spans="1:27" ht="14.4" customHeight="1" x14ac:dyDescent="0.3">
      <c r="K17" s="13"/>
      <c r="L17" s="2"/>
      <c r="M17" s="90" t="s">
        <v>104</v>
      </c>
      <c r="N17" s="92">
        <v>1027.01</v>
      </c>
      <c r="O17" s="92">
        <v>1070.531013</v>
      </c>
      <c r="P17" s="92">
        <v>1117.0971460000001</v>
      </c>
      <c r="Q17" s="92">
        <v>1157.8900000000001</v>
      </c>
      <c r="R17" s="92">
        <v>1193.2962</v>
      </c>
      <c r="S17" s="92">
        <v>1253.330197</v>
      </c>
      <c r="T17" s="92">
        <v>1330.4146000000001</v>
      </c>
      <c r="U17" s="92">
        <v>1392.1709000000001</v>
      </c>
      <c r="V17" s="93">
        <v>1441.221753</v>
      </c>
      <c r="W17" s="93">
        <f t="shared" si="1"/>
        <v>1441.221753</v>
      </c>
      <c r="X17" s="93">
        <f t="shared" si="1"/>
        <v>1441.221753</v>
      </c>
      <c r="Y17" s="93">
        <f t="shared" si="1"/>
        <v>1441.221753</v>
      </c>
      <c r="Z17" s="93">
        <f t="shared" si="1"/>
        <v>1441.221753</v>
      </c>
      <c r="AA17" s="86"/>
    </row>
    <row r="18" spans="1:27" ht="7.05" customHeight="1" x14ac:dyDescent="0.3">
      <c r="K18" s="13"/>
      <c r="L18" s="2"/>
      <c r="M18" s="90"/>
      <c r="N18" s="77"/>
      <c r="O18" s="77"/>
      <c r="P18" s="77"/>
      <c r="Q18" s="77"/>
      <c r="R18" s="77"/>
      <c r="S18" s="77"/>
      <c r="T18" s="77"/>
      <c r="U18" s="77"/>
      <c r="V18" s="77"/>
      <c r="W18" s="77"/>
      <c r="X18" s="77"/>
      <c r="Y18" s="77"/>
      <c r="Z18" s="77"/>
      <c r="AA18" s="94"/>
    </row>
    <row r="19" spans="1:27" ht="14.4" customHeight="1" x14ac:dyDescent="0.3">
      <c r="K19" s="13"/>
      <c r="L19" s="2"/>
      <c r="M19" s="90" t="s">
        <v>105</v>
      </c>
      <c r="N19" s="77"/>
      <c r="O19" s="95">
        <f t="shared" ref="O19:V20" si="2">(O16-N16)/N16</f>
        <v>1.0684336824431396E-2</v>
      </c>
      <c r="P19" s="95">
        <f t="shared" si="2"/>
        <v>8.419541451116291E-3</v>
      </c>
      <c r="Q19" s="95">
        <f t="shared" si="2"/>
        <v>7.8536940526059661E-3</v>
      </c>
      <c r="R19" s="95">
        <f t="shared" si="2"/>
        <v>1.2170809995008408E-2</v>
      </c>
      <c r="S19" s="95">
        <f t="shared" si="2"/>
        <v>7.0269061664533297E-3</v>
      </c>
      <c r="T19" s="95">
        <f t="shared" si="2"/>
        <v>7.109617299803553E-3</v>
      </c>
      <c r="U19" s="96">
        <f t="shared" si="2"/>
        <v>1.1500232420256848E-2</v>
      </c>
      <c r="V19" s="96">
        <f t="shared" si="2"/>
        <v>5.1809744854582245E-3</v>
      </c>
      <c r="W19" s="97">
        <v>8.0000000000000002E-3</v>
      </c>
      <c r="X19" s="97">
        <v>8.0000000000000002E-3</v>
      </c>
      <c r="Y19" s="97">
        <v>8.0000000000000002E-3</v>
      </c>
      <c r="Z19" s="97">
        <v>8.0000000000000002E-3</v>
      </c>
      <c r="AA19" s="86" t="s">
        <v>106</v>
      </c>
    </row>
    <row r="20" spans="1:27" ht="14.4" customHeight="1" x14ac:dyDescent="0.3">
      <c r="K20" s="13"/>
      <c r="L20" s="2"/>
      <c r="M20" s="98" t="s">
        <v>107</v>
      </c>
      <c r="N20" s="99"/>
      <c r="O20" s="100">
        <f t="shared" si="2"/>
        <v>4.2376425740742581E-2</v>
      </c>
      <c r="P20" s="100">
        <f t="shared" si="2"/>
        <v>4.3498163467030761E-2</v>
      </c>
      <c r="Q20" s="100">
        <f t="shared" si="2"/>
        <v>3.6516836647615993E-2</v>
      </c>
      <c r="R20" s="100">
        <f t="shared" si="2"/>
        <v>3.0578206910846364E-2</v>
      </c>
      <c r="S20" s="100">
        <f t="shared" si="2"/>
        <v>5.0309384208212515E-2</v>
      </c>
      <c r="T20" s="100">
        <f t="shared" si="2"/>
        <v>6.1503666938298514E-2</v>
      </c>
      <c r="U20" s="100">
        <f t="shared" si="2"/>
        <v>4.6418838157669048E-2</v>
      </c>
      <c r="V20" s="101">
        <v>3.5999999999999997E-2</v>
      </c>
      <c r="W20" s="102">
        <f>I3</f>
        <v>0</v>
      </c>
      <c r="X20" s="102">
        <f>W20</f>
        <v>0</v>
      </c>
      <c r="Y20" s="102">
        <f t="shared" ref="Y20:Z20" si="3">X20</f>
        <v>0</v>
      </c>
      <c r="Z20" s="102">
        <f t="shared" si="3"/>
        <v>0</v>
      </c>
      <c r="AA20" s="86" t="s">
        <v>108</v>
      </c>
    </row>
    <row r="21" spans="1:27" ht="14.4" customHeight="1" x14ac:dyDescent="0.3">
      <c r="K21" s="13"/>
      <c r="L21" s="2"/>
      <c r="M21" s="98"/>
      <c r="N21" s="99"/>
      <c r="O21" s="99"/>
      <c r="P21" s="99"/>
      <c r="Q21" s="99"/>
      <c r="R21" s="99"/>
      <c r="S21" s="99"/>
      <c r="T21" s="99"/>
      <c r="U21" s="99"/>
      <c r="V21" s="99"/>
      <c r="W21" s="99"/>
      <c r="X21" s="99"/>
      <c r="Y21" s="99"/>
      <c r="Z21" s="99"/>
      <c r="AA21" s="86"/>
    </row>
    <row r="22" spans="1:27" ht="14.4" customHeight="1" x14ac:dyDescent="0.3">
      <c r="K22" s="13"/>
      <c r="L22" s="2"/>
      <c r="M22" s="103" t="s">
        <v>109</v>
      </c>
      <c r="N22" s="104">
        <f t="shared" ref="N22:Z22" si="4">(N16*N17)/1000</f>
        <v>1192285.7412886473</v>
      </c>
      <c r="O22" s="104">
        <f t="shared" si="4"/>
        <v>1256089.1559855642</v>
      </c>
      <c r="P22" s="104">
        <f t="shared" si="4"/>
        <v>1321762.4454344029</v>
      </c>
      <c r="Q22" s="104">
        <f t="shared" si="4"/>
        <v>1380788.8175762075</v>
      </c>
      <c r="R22" s="104">
        <f t="shared" si="4"/>
        <v>1440330.0585836507</v>
      </c>
      <c r="S22" s="104">
        <f t="shared" si="4"/>
        <v>1523422.4255639063</v>
      </c>
      <c r="T22" s="104">
        <f t="shared" si="4"/>
        <v>1628615.5846317981</v>
      </c>
      <c r="U22" s="104">
        <f t="shared" si="4"/>
        <v>1723812.8852903137</v>
      </c>
      <c r="V22" s="104">
        <f t="shared" si="4"/>
        <v>1793794.2991952354</v>
      </c>
      <c r="W22" s="104">
        <f t="shared" si="4"/>
        <v>1808144.6535887972</v>
      </c>
      <c r="X22" s="104">
        <f t="shared" si="4"/>
        <v>1822609.8108175076</v>
      </c>
      <c r="Y22" s="104">
        <f t="shared" si="4"/>
        <v>1837190.6893040475</v>
      </c>
      <c r="Z22" s="104">
        <f t="shared" si="4"/>
        <v>1851888.2148184797</v>
      </c>
      <c r="AA22" s="89"/>
    </row>
    <row r="23" spans="1:27" ht="14.4" customHeight="1" x14ac:dyDescent="0.3">
      <c r="K23" s="13"/>
      <c r="L23" s="2"/>
      <c r="M23" s="98"/>
      <c r="N23" s="99"/>
      <c r="O23" s="99"/>
      <c r="P23" s="99"/>
      <c r="Q23" s="99"/>
      <c r="R23" s="105"/>
      <c r="S23" s="105"/>
      <c r="T23" s="105"/>
      <c r="U23" s="105"/>
      <c r="V23" s="105"/>
      <c r="W23" s="105"/>
      <c r="X23" s="105"/>
      <c r="Y23" s="105"/>
      <c r="Z23" s="105"/>
      <c r="AA23" s="86"/>
    </row>
    <row r="24" spans="1:27" ht="14.4" customHeight="1" x14ac:dyDescent="0.3">
      <c r="K24" s="13"/>
      <c r="L24" s="2"/>
      <c r="M24" s="98" t="s">
        <v>110</v>
      </c>
      <c r="N24" s="106">
        <v>-244000</v>
      </c>
      <c r="O24" s="106">
        <v>-246885</v>
      </c>
      <c r="P24" s="106">
        <v>-247366</v>
      </c>
      <c r="Q24" s="106">
        <v>-246721</v>
      </c>
      <c r="R24" s="106">
        <v>-247413</v>
      </c>
      <c r="S24" s="106">
        <v>-252096</v>
      </c>
      <c r="T24" s="106">
        <v>-259816</v>
      </c>
      <c r="U24" s="105">
        <f>U48*-1000</f>
        <v>-282805.66236907674</v>
      </c>
      <c r="V24" s="105">
        <f t="shared" ref="V24:Z24" si="5">V48*-1000</f>
        <v>-303248.7682773642</v>
      </c>
      <c r="W24" s="105">
        <f t="shared" si="5"/>
        <v>-303851.04382406001</v>
      </c>
      <c r="X24" s="105">
        <f t="shared" si="5"/>
        <v>-299621.3292894378</v>
      </c>
      <c r="Y24" s="105">
        <f t="shared" si="5"/>
        <v>-297940.66977847356</v>
      </c>
      <c r="Z24" s="105">
        <f t="shared" si="5"/>
        <v>-299863.62706485135</v>
      </c>
      <c r="AA24" s="107"/>
    </row>
    <row r="25" spans="1:27" ht="14.4" customHeight="1" x14ac:dyDescent="0.3">
      <c r="K25" s="13"/>
      <c r="L25" s="2"/>
      <c r="M25" s="98" t="s">
        <v>111</v>
      </c>
      <c r="N25" s="100">
        <f t="shared" ref="N25:Z25" si="6">N24/N22</f>
        <v>-0.20464892898599937</v>
      </c>
      <c r="O25" s="100">
        <f t="shared" si="6"/>
        <v>-0.1965505384896718</v>
      </c>
      <c r="P25" s="100">
        <f t="shared" si="6"/>
        <v>-0.18714860666108735</v>
      </c>
      <c r="Q25" s="100">
        <f t="shared" si="6"/>
        <v>-0.17868119792068288</v>
      </c>
      <c r="R25" s="100">
        <f t="shared" si="6"/>
        <v>-0.17177521119242189</v>
      </c>
      <c r="S25" s="100">
        <f t="shared" si="6"/>
        <v>-0.16548003742736342</v>
      </c>
      <c r="T25" s="100">
        <f t="shared" si="6"/>
        <v>-0.15953181490568868</v>
      </c>
      <c r="U25" s="100">
        <f t="shared" si="6"/>
        <v>-0.16405821350003913</v>
      </c>
      <c r="V25" s="100">
        <f t="shared" si="6"/>
        <v>-0.16905437173783705</v>
      </c>
      <c r="W25" s="100">
        <f t="shared" si="6"/>
        <v>-0.16804576073102218</v>
      </c>
      <c r="X25" s="100">
        <f t="shared" si="6"/>
        <v>-0.16439137302517132</v>
      </c>
      <c r="Y25" s="100">
        <f t="shared" si="6"/>
        <v>-0.16217188096644311</v>
      </c>
      <c r="Z25" s="100">
        <f t="shared" si="6"/>
        <v>-0.16192317909115464</v>
      </c>
      <c r="AA25" s="107" t="s">
        <v>112</v>
      </c>
    </row>
    <row r="26" spans="1:27" ht="14.4" customHeight="1" x14ac:dyDescent="0.3">
      <c r="K26" s="13"/>
      <c r="L26" s="2"/>
      <c r="M26" s="98"/>
      <c r="N26" s="106"/>
      <c r="O26" s="106"/>
      <c r="P26" s="106"/>
      <c r="Q26" s="106"/>
      <c r="R26" s="106"/>
      <c r="S26" s="106"/>
      <c r="T26" s="106"/>
      <c r="U26" s="108"/>
      <c r="V26" s="108"/>
      <c r="W26" s="108"/>
      <c r="X26" s="108"/>
      <c r="Y26" s="108"/>
      <c r="Z26" s="108"/>
      <c r="AA26" s="107"/>
    </row>
    <row r="27" spans="1:27" ht="14.4" customHeight="1" x14ac:dyDescent="0.3">
      <c r="K27" s="13"/>
      <c r="L27" s="2"/>
      <c r="M27" s="98" t="s">
        <v>113</v>
      </c>
      <c r="N27" s="100">
        <v>1.0049999999999999</v>
      </c>
      <c r="O27" s="100">
        <v>1.0024</v>
      </c>
      <c r="P27" s="100">
        <v>0.99993330000000002</v>
      </c>
      <c r="Q27" s="100">
        <v>1.0001</v>
      </c>
      <c r="R27" s="100">
        <v>0.99507000000000001</v>
      </c>
      <c r="S27" s="100">
        <v>0.99691999999999992</v>
      </c>
      <c r="T27" s="100">
        <v>0.98099999999999998</v>
      </c>
      <c r="U27" s="102">
        <v>1</v>
      </c>
      <c r="V27" s="102">
        <v>1</v>
      </c>
      <c r="W27" s="102">
        <v>1</v>
      </c>
      <c r="X27" s="102">
        <v>1</v>
      </c>
      <c r="Y27" s="102">
        <v>1</v>
      </c>
      <c r="Z27" s="102">
        <v>1</v>
      </c>
      <c r="AA27" s="107"/>
    </row>
    <row r="28" spans="1:27" ht="7.05" customHeight="1" x14ac:dyDescent="0.3">
      <c r="K28" s="13"/>
      <c r="L28" s="2"/>
      <c r="M28" s="98"/>
      <c r="N28" s="99"/>
      <c r="O28" s="99"/>
      <c r="P28" s="99"/>
      <c r="Q28" s="99"/>
      <c r="R28" s="99"/>
      <c r="S28" s="99"/>
      <c r="T28" s="99"/>
      <c r="U28" s="99"/>
      <c r="V28" s="99"/>
      <c r="W28" s="99"/>
      <c r="X28" s="99"/>
      <c r="Y28" s="99"/>
      <c r="Z28" s="99"/>
      <c r="AA28" s="107"/>
    </row>
    <row r="29" spans="1:27" x14ac:dyDescent="0.3">
      <c r="K29" s="13"/>
      <c r="L29" s="2"/>
      <c r="M29" s="90" t="s">
        <v>114</v>
      </c>
      <c r="N29" s="106">
        <f>(N22+N24)*N27</f>
        <v>953027.16999509046</v>
      </c>
      <c r="O29" s="106">
        <f t="shared" ref="O29:Z29" si="7">(O22+O24)*O27</f>
        <v>1011626.2459599295</v>
      </c>
      <c r="P29" s="106">
        <f t="shared" si="7"/>
        <v>1074324.7831914925</v>
      </c>
      <c r="Q29" s="106">
        <f t="shared" si="7"/>
        <v>1134181.2243579652</v>
      </c>
      <c r="R29" s="106">
        <f t="shared" si="7"/>
        <v>1187035.9774848334</v>
      </c>
      <c r="S29" s="106">
        <f t="shared" si="7"/>
        <v>1267410.7401731694</v>
      </c>
      <c r="T29" s="106">
        <f t="shared" si="7"/>
        <v>1342792.392523794</v>
      </c>
      <c r="U29" s="106">
        <f t="shared" si="7"/>
        <v>1441007.2229212369</v>
      </c>
      <c r="V29" s="106">
        <f t="shared" si="7"/>
        <v>1490545.5309178713</v>
      </c>
      <c r="W29" s="106">
        <f t="shared" si="7"/>
        <v>1504293.6097647371</v>
      </c>
      <c r="X29" s="106">
        <f t="shared" si="7"/>
        <v>1522988.4815280698</v>
      </c>
      <c r="Y29" s="106">
        <f t="shared" si="7"/>
        <v>1539250.0195255741</v>
      </c>
      <c r="Z29" s="106">
        <f t="shared" si="7"/>
        <v>1552024.5877536284</v>
      </c>
      <c r="AA29" s="86"/>
    </row>
    <row r="30" spans="1:27" x14ac:dyDescent="0.3">
      <c r="K30" s="13"/>
      <c r="L30" s="2"/>
      <c r="M30" s="109" t="s">
        <v>115</v>
      </c>
      <c r="N30" s="110">
        <f>N29-N24</f>
        <v>1197027.1699950905</v>
      </c>
      <c r="O30" s="110">
        <f t="shared" ref="O30:Z30" si="8">O29-O24</f>
        <v>1258511.2459599297</v>
      </c>
      <c r="P30" s="110">
        <f t="shared" si="8"/>
        <v>1321690.7831914925</v>
      </c>
      <c r="Q30" s="110">
        <f t="shared" si="8"/>
        <v>1380902.2243579652</v>
      </c>
      <c r="R30" s="110">
        <f t="shared" si="8"/>
        <v>1434448.9774848334</v>
      </c>
      <c r="S30" s="110">
        <f t="shared" si="8"/>
        <v>1519506.7401731694</v>
      </c>
      <c r="T30" s="110">
        <f t="shared" si="8"/>
        <v>1602608.392523794</v>
      </c>
      <c r="U30" s="110">
        <f t="shared" si="8"/>
        <v>1723812.8852903135</v>
      </c>
      <c r="V30" s="110">
        <f t="shared" si="8"/>
        <v>1793794.2991952356</v>
      </c>
      <c r="W30" s="110">
        <f t="shared" si="8"/>
        <v>1808144.653588797</v>
      </c>
      <c r="X30" s="110">
        <f t="shared" si="8"/>
        <v>1822609.8108175076</v>
      </c>
      <c r="Y30" s="110">
        <f t="shared" si="8"/>
        <v>1837190.6893040477</v>
      </c>
      <c r="Z30" s="110">
        <f t="shared" si="8"/>
        <v>1851888.2148184797</v>
      </c>
      <c r="AA30" s="89"/>
    </row>
    <row r="31" spans="1:27" ht="15.6" x14ac:dyDescent="0.3">
      <c r="A31" s="18"/>
      <c r="B31" s="18"/>
      <c r="C31" s="1"/>
      <c r="D31" s="1"/>
      <c r="E31" s="1"/>
      <c r="F31" s="1"/>
      <c r="G31" s="1"/>
      <c r="H31" s="1"/>
      <c r="I31" s="1"/>
      <c r="J31" s="1"/>
      <c r="K31" s="13"/>
      <c r="L31" s="2"/>
      <c r="M31" s="1"/>
      <c r="N31" s="111"/>
      <c r="O31" s="111"/>
      <c r="P31" s="111"/>
      <c r="Q31" s="111"/>
      <c r="R31" s="111"/>
      <c r="S31" s="111"/>
      <c r="T31" s="111"/>
      <c r="U31" s="111"/>
      <c r="V31" s="111"/>
      <c r="W31" s="112"/>
      <c r="X31" s="112"/>
      <c r="Y31" s="112"/>
      <c r="Z31" s="112"/>
      <c r="AA31" s="1"/>
    </row>
    <row r="32" spans="1:27" ht="15.6" hidden="1" x14ac:dyDescent="0.3">
      <c r="A32" s="18"/>
      <c r="B32" s="18"/>
      <c r="C32" s="1"/>
      <c r="D32" s="1"/>
      <c r="E32" s="1"/>
      <c r="F32" s="1"/>
      <c r="G32" s="1"/>
      <c r="H32" s="1"/>
      <c r="I32" s="1"/>
      <c r="J32" s="1"/>
      <c r="K32" s="13"/>
      <c r="L32" s="2"/>
      <c r="M32" s="1"/>
      <c r="N32" s="113"/>
      <c r="O32" s="113"/>
      <c r="P32" s="113"/>
      <c r="Q32" s="113"/>
      <c r="R32" s="113"/>
      <c r="S32" s="113"/>
      <c r="T32" s="113"/>
      <c r="U32" s="114"/>
      <c r="V32" s="112"/>
      <c r="W32" s="112"/>
      <c r="X32" s="112"/>
      <c r="Y32" s="112"/>
      <c r="Z32" s="112"/>
      <c r="AA32" s="1"/>
    </row>
    <row r="33" spans="11:27" s="2" customFormat="1" ht="20.399999999999999" hidden="1" customHeight="1" x14ac:dyDescent="0.3">
      <c r="K33"/>
      <c r="M33" s="1"/>
      <c r="N33" s="113"/>
      <c r="O33" s="113"/>
      <c r="P33" s="113"/>
      <c r="Q33" s="113"/>
      <c r="R33" s="113"/>
      <c r="S33" s="113"/>
      <c r="T33" s="113"/>
      <c r="U33" s="115"/>
      <c r="V33" s="116"/>
      <c r="W33" s="112"/>
      <c r="X33" s="112"/>
      <c r="Y33" s="112"/>
      <c r="Z33" s="112"/>
      <c r="AA33" s="1"/>
    </row>
    <row r="34" spans="11:27" hidden="1" x14ac:dyDescent="0.3">
      <c r="L34" s="2"/>
      <c r="M34" s="117" t="s">
        <v>116</v>
      </c>
      <c r="N34" s="118"/>
      <c r="O34" s="118"/>
      <c r="P34" s="118"/>
      <c r="Q34" s="118"/>
      <c r="R34" s="119"/>
      <c r="S34" s="119"/>
      <c r="T34" s="119"/>
      <c r="U34" s="120"/>
      <c r="V34" s="120"/>
      <c r="W34" s="120"/>
      <c r="X34" s="121"/>
      <c r="Y34" s="1"/>
      <c r="Z34" s="1"/>
      <c r="AA34" s="1"/>
    </row>
    <row r="35" spans="11:27" hidden="1" x14ac:dyDescent="0.3">
      <c r="L35" s="2"/>
      <c r="M35" s="122"/>
      <c r="N35" s="123"/>
      <c r="O35" s="123"/>
      <c r="P35" s="123"/>
      <c r="Q35" s="123"/>
      <c r="R35" s="124"/>
      <c r="S35" s="124"/>
      <c r="T35" s="124"/>
      <c r="U35" s="125"/>
      <c r="V35" s="125"/>
      <c r="W35" s="125"/>
      <c r="X35" s="126"/>
      <c r="Y35" s="1"/>
      <c r="Z35" s="127"/>
      <c r="AA35" s="127"/>
    </row>
    <row r="36" spans="11:27" hidden="1" x14ac:dyDescent="0.3">
      <c r="L36" s="128"/>
      <c r="M36" s="189" t="s">
        <v>117</v>
      </c>
      <c r="N36" s="190"/>
      <c r="O36" s="190"/>
      <c r="P36" s="190"/>
      <c r="Q36" s="190"/>
      <c r="R36" s="190"/>
      <c r="S36" s="190"/>
      <c r="T36" s="190"/>
      <c r="U36" s="190"/>
      <c r="V36" s="190"/>
      <c r="W36" s="190"/>
      <c r="X36" s="191"/>
      <c r="Y36" s="129"/>
      <c r="Z36" s="130"/>
      <c r="AA36" s="130"/>
    </row>
    <row r="37" spans="11:27" hidden="1" x14ac:dyDescent="0.3">
      <c r="L37" s="128"/>
      <c r="M37" s="189" t="s">
        <v>118</v>
      </c>
      <c r="N37" s="190"/>
      <c r="O37" s="190"/>
      <c r="P37" s="190"/>
      <c r="Q37" s="190"/>
      <c r="R37" s="190"/>
      <c r="S37" s="190"/>
      <c r="T37" s="190"/>
      <c r="U37" s="190"/>
      <c r="V37" s="190"/>
      <c r="W37" s="190"/>
      <c r="X37" s="191"/>
      <c r="Y37" s="129"/>
      <c r="Z37" s="131"/>
      <c r="AA37" s="131"/>
    </row>
    <row r="38" spans="11:27" hidden="1" x14ac:dyDescent="0.3">
      <c r="L38" s="128"/>
      <c r="M38" s="189" t="s">
        <v>119</v>
      </c>
      <c r="N38" s="190"/>
      <c r="O38" s="190"/>
      <c r="P38" s="190"/>
      <c r="Q38" s="190"/>
      <c r="R38" s="190"/>
      <c r="S38" s="190"/>
      <c r="T38" s="190"/>
      <c r="U38" s="190"/>
      <c r="V38" s="190"/>
      <c r="W38" s="190"/>
      <c r="X38" s="191"/>
      <c r="Y38" s="129"/>
      <c r="Z38" s="130"/>
      <c r="AA38" s="131"/>
    </row>
    <row r="39" spans="11:27" hidden="1" x14ac:dyDescent="0.3">
      <c r="L39" s="128"/>
      <c r="M39" s="189" t="s">
        <v>120</v>
      </c>
      <c r="N39" s="190"/>
      <c r="O39" s="190"/>
      <c r="P39" s="190"/>
      <c r="Q39" s="190"/>
      <c r="R39" s="190"/>
      <c r="S39" s="190"/>
      <c r="T39" s="190"/>
      <c r="U39" s="190"/>
      <c r="V39" s="190"/>
      <c r="W39" s="190"/>
      <c r="X39" s="191"/>
      <c r="Y39" s="132"/>
      <c r="Z39" s="133"/>
      <c r="AA39" s="131"/>
    </row>
    <row r="40" spans="11:27" hidden="1" x14ac:dyDescent="0.3">
      <c r="L40" s="128"/>
      <c r="M40" s="181" t="s">
        <v>121</v>
      </c>
      <c r="N40" s="182"/>
      <c r="O40" s="182"/>
      <c r="P40" s="182"/>
      <c r="Q40" s="182"/>
      <c r="R40" s="182"/>
      <c r="S40" s="182"/>
      <c r="T40" s="182"/>
      <c r="U40" s="182"/>
      <c r="V40" s="182"/>
      <c r="W40" s="182"/>
      <c r="X40" s="183"/>
      <c r="Y40" s="129"/>
      <c r="Z40" s="134"/>
      <c r="AA40" s="131"/>
    </row>
    <row r="41" spans="11:27" hidden="1" x14ac:dyDescent="0.3">
      <c r="L41" s="2"/>
      <c r="M41" s="1"/>
      <c r="N41" s="1"/>
      <c r="O41" s="1"/>
      <c r="P41" s="1"/>
      <c r="Q41" s="1"/>
      <c r="R41" s="127"/>
      <c r="S41" s="1"/>
      <c r="T41" s="1"/>
      <c r="U41" s="1"/>
      <c r="V41" s="1"/>
      <c r="W41" s="1"/>
      <c r="X41" s="1"/>
      <c r="Y41" s="1"/>
      <c r="Z41" s="1"/>
      <c r="AA41" s="1"/>
    </row>
    <row r="42" spans="11:27" hidden="1" x14ac:dyDescent="0.3">
      <c r="T42" s="135"/>
    </row>
    <row r="43" spans="11:27" hidden="1" x14ac:dyDescent="0.3">
      <c r="P43" s="136" t="s">
        <v>122</v>
      </c>
      <c r="Q43" s="137"/>
      <c r="R43" s="138"/>
      <c r="S43" s="137"/>
      <c r="T43" s="137"/>
      <c r="U43" s="137"/>
      <c r="V43" s="137"/>
      <c r="W43" s="137"/>
      <c r="X43" s="137"/>
      <c r="Y43" s="137"/>
      <c r="Z43" s="137"/>
      <c r="AA43" s="139"/>
    </row>
    <row r="44" spans="11:27" hidden="1" x14ac:dyDescent="0.3">
      <c r="P44" s="140"/>
      <c r="S44" s="141"/>
      <c r="W44" s="142">
        <f>(W46-V46)/V46</f>
        <v>-1.1273559422400926E-3</v>
      </c>
      <c r="X44" s="142">
        <f t="shared" ref="X44:Z44" si="9">(X46-W46)/W46</f>
        <v>-2.5372313743517082E-2</v>
      </c>
      <c r="Y44" s="142">
        <f t="shared" si="9"/>
        <v>-1.2962693286828798E-2</v>
      </c>
      <c r="Z44" s="142">
        <f t="shared" si="9"/>
        <v>5.6011697939983458E-3</v>
      </c>
      <c r="AA44" s="143"/>
    </row>
    <row r="45" spans="11:27" hidden="1" x14ac:dyDescent="0.3">
      <c r="P45" s="140"/>
      <c r="S45" s="141"/>
      <c r="T45" s="144" t="s">
        <v>10</v>
      </c>
      <c r="U45" s="144" t="s">
        <v>11</v>
      </c>
      <c r="V45" s="144" t="s">
        <v>12</v>
      </c>
      <c r="W45" s="144" t="s">
        <v>13</v>
      </c>
      <c r="X45" s="144" t="s">
        <v>14</v>
      </c>
      <c r="Y45" s="144" t="s">
        <v>15</v>
      </c>
      <c r="Z45" s="144" t="s">
        <v>16</v>
      </c>
      <c r="AA45" s="143"/>
    </row>
    <row r="46" spans="11:27" hidden="1" x14ac:dyDescent="0.3">
      <c r="P46" s="184" t="s">
        <v>123</v>
      </c>
      <c r="Q46" s="185"/>
      <c r="R46" s="185"/>
      <c r="S46" s="185"/>
      <c r="T46" s="145">
        <v>165.9</v>
      </c>
      <c r="U46" s="145">
        <f>((U22*$T$52)/1000)+U53</f>
        <v>183.4</v>
      </c>
      <c r="V46" s="145">
        <f t="shared" ref="V46:Z46" si="10">((V22*$T$52)/1000)+V53</f>
        <v>199.80754679273315</v>
      </c>
      <c r="W46" s="145">
        <f t="shared" si="10"/>
        <v>199.58229256755195</v>
      </c>
      <c r="X46" s="145">
        <f t="shared" si="10"/>
        <v>194.5184280228776</v>
      </c>
      <c r="Y46" s="145">
        <f t="shared" si="10"/>
        <v>191.99694530178095</v>
      </c>
      <c r="Z46" s="145">
        <f t="shared" si="10"/>
        <v>193.07235279234524</v>
      </c>
      <c r="AA46" s="146" t="s">
        <v>124</v>
      </c>
    </row>
    <row r="47" spans="11:27" ht="15" hidden="1" thickBot="1" x14ac:dyDescent="0.35">
      <c r="P47" s="184" t="s">
        <v>125</v>
      </c>
      <c r="Q47" s="185"/>
      <c r="R47" s="185"/>
      <c r="S47" s="185"/>
      <c r="T47" s="147">
        <f>((T24/1000)-(T46*-1))*-1</f>
        <v>93.915999999999968</v>
      </c>
      <c r="U47" s="147">
        <f>(U22*$T$51)/1000</f>
        <v>99.405662369076751</v>
      </c>
      <c r="V47" s="147">
        <f t="shared" ref="V47:Z47" si="11">(V22*$T$51)/1000</f>
        <v>103.44122148463103</v>
      </c>
      <c r="W47" s="147">
        <f t="shared" si="11"/>
        <v>104.26875125650807</v>
      </c>
      <c r="X47" s="147">
        <f t="shared" si="11"/>
        <v>105.10290126656014</v>
      </c>
      <c r="Y47" s="147">
        <f t="shared" si="11"/>
        <v>105.94372447669261</v>
      </c>
      <c r="Z47" s="147">
        <f t="shared" si="11"/>
        <v>106.79127427250614</v>
      </c>
      <c r="AA47" s="146" t="s">
        <v>126</v>
      </c>
    </row>
    <row r="48" spans="11:27" hidden="1" x14ac:dyDescent="0.3">
      <c r="P48" s="140"/>
      <c r="S48" s="148" t="s">
        <v>30</v>
      </c>
      <c r="T48" s="149">
        <f>SUM(T46:T47)</f>
        <v>259.81599999999997</v>
      </c>
      <c r="U48" s="149">
        <f>SUM(U46:U47)</f>
        <v>282.80566236907674</v>
      </c>
      <c r="V48" s="149">
        <f t="shared" ref="V48:Z48" si="12">SUM(V46:V47)</f>
        <v>303.24876827736421</v>
      </c>
      <c r="W48" s="149">
        <f t="shared" si="12"/>
        <v>303.85104382406001</v>
      </c>
      <c r="X48" s="149">
        <f t="shared" si="12"/>
        <v>299.62132928943777</v>
      </c>
      <c r="Y48" s="149">
        <f t="shared" si="12"/>
        <v>297.94066977847353</v>
      </c>
      <c r="Z48" s="149">
        <f t="shared" si="12"/>
        <v>299.86362706485136</v>
      </c>
      <c r="AA48" s="143"/>
    </row>
    <row r="49" spans="16:27" hidden="1" x14ac:dyDescent="0.3">
      <c r="P49" s="140"/>
      <c r="S49" s="150" t="s">
        <v>127</v>
      </c>
      <c r="T49" s="151">
        <f>AVERAGE(Q76:Q79)/100</f>
        <v>3.875E-2</v>
      </c>
      <c r="U49" s="151">
        <f>AVERAGE(Q80:Q81,W82:W83)/100</f>
        <v>4.8000000000000001E-2</v>
      </c>
      <c r="V49" s="151">
        <f>AVERAGE(W84:W87)/100</f>
        <v>5.9000000000000004E-2</v>
      </c>
      <c r="W49" s="151">
        <f>AVERAGE(W88:W91)/100</f>
        <v>5.6999999999999995E-2</v>
      </c>
      <c r="X49" s="151">
        <f>AVERAGE(W92:W95)/100</f>
        <v>4.9249999999999995E-2</v>
      </c>
      <c r="Y49" s="151">
        <f>AVERAGE(W96:W99)/100</f>
        <v>4.4500000000000005E-2</v>
      </c>
      <c r="Z49" s="151">
        <f>AVERAGE(W100:W103)/100</f>
        <v>4.4000000000000004E-2</v>
      </c>
      <c r="AA49" s="143"/>
    </row>
    <row r="50" spans="16:27" hidden="1" x14ac:dyDescent="0.3">
      <c r="P50" s="140"/>
      <c r="AA50" s="143"/>
    </row>
    <row r="51" spans="16:27" hidden="1" x14ac:dyDescent="0.3">
      <c r="P51" s="152"/>
      <c r="S51" s="153" t="s">
        <v>128</v>
      </c>
      <c r="T51" s="154">
        <f>(T47*1000)/T22</f>
        <v>5.7666155774404405E-2</v>
      </c>
      <c r="U51" s="155">
        <f>(U22*$T$52)/1000</f>
        <v>175.59733577909873</v>
      </c>
      <c r="V51" s="155"/>
      <c r="W51" s="156"/>
      <c r="X51" s="156"/>
      <c r="Y51" s="157"/>
      <c r="Z51" s="142"/>
      <c r="AA51" s="143"/>
    </row>
    <row r="52" spans="16:27" hidden="1" x14ac:dyDescent="0.3">
      <c r="P52" s="140"/>
      <c r="S52" s="153" t="s">
        <v>129</v>
      </c>
      <c r="T52" s="154">
        <f>(T46*1000)/T22</f>
        <v>0.10186565913128427</v>
      </c>
      <c r="U52">
        <v>183.4</v>
      </c>
      <c r="W52" s="145"/>
      <c r="AA52" s="143"/>
    </row>
    <row r="53" spans="16:27" hidden="1" x14ac:dyDescent="0.3">
      <c r="T53">
        <v>0</v>
      </c>
      <c r="U53" s="158">
        <f>U52-U51</f>
        <v>7.8026642209012778</v>
      </c>
      <c r="V53" s="158">
        <f>FORECAST(V49,$T$53:$U$53,$T$49:$U$49)</f>
        <v>17.081508159270371</v>
      </c>
      <c r="W53" s="158">
        <f t="shared" ref="W53:Z53" si="13">FORECAST(W49,$T$53:$U$53,$T$49:$U$49)</f>
        <v>15.39444562502144</v>
      </c>
      <c r="X53" s="158">
        <f t="shared" si="13"/>
        <v>8.8570783048068549</v>
      </c>
      <c r="Y53" s="158">
        <f t="shared" si="13"/>
        <v>4.8503047859656689</v>
      </c>
      <c r="Z53" s="158">
        <f t="shared" si="13"/>
        <v>4.4285391524034381</v>
      </c>
      <c r="AA53" s="143"/>
    </row>
    <row r="54" spans="16:27" hidden="1" x14ac:dyDescent="0.3">
      <c r="P54" s="159" t="s">
        <v>130</v>
      </c>
      <c r="Q54" s="160"/>
      <c r="R54" s="160"/>
      <c r="S54" s="160"/>
      <c r="T54" s="160"/>
      <c r="U54" s="160"/>
      <c r="V54" s="160"/>
      <c r="W54" s="160"/>
      <c r="X54" s="160"/>
      <c r="Y54" s="160"/>
      <c r="Z54" s="160"/>
      <c r="AA54" s="161"/>
    </row>
    <row r="55" spans="16:27" hidden="1" x14ac:dyDescent="0.3">
      <c r="S55" s="162"/>
    </row>
    <row r="57" spans="16:27" hidden="1" x14ac:dyDescent="0.3">
      <c r="P57" s="163" t="s">
        <v>131</v>
      </c>
    </row>
    <row r="58" spans="16:27" hidden="1" x14ac:dyDescent="0.3">
      <c r="Q58" t="s">
        <v>92</v>
      </c>
      <c r="R58" t="s">
        <v>132</v>
      </c>
      <c r="S58" t="s">
        <v>133</v>
      </c>
      <c r="T58" t="s">
        <v>134</v>
      </c>
      <c r="U58" t="s">
        <v>135</v>
      </c>
      <c r="V58" t="s">
        <v>136</v>
      </c>
      <c r="W58" t="s">
        <v>137</v>
      </c>
    </row>
    <row r="59" spans="16:27" hidden="1" x14ac:dyDescent="0.3">
      <c r="P59" t="s">
        <v>138</v>
      </c>
      <c r="Q59">
        <v>5.5</v>
      </c>
      <c r="S59">
        <v>5.5</v>
      </c>
      <c r="T59">
        <v>5.5</v>
      </c>
    </row>
    <row r="60" spans="16:27" hidden="1" x14ac:dyDescent="0.3">
      <c r="P60" t="s">
        <v>139</v>
      </c>
      <c r="Q60">
        <v>5.6</v>
      </c>
      <c r="S60">
        <v>5.6</v>
      </c>
      <c r="T60">
        <v>5.6</v>
      </c>
    </row>
    <row r="61" spans="16:27" hidden="1" x14ac:dyDescent="0.3">
      <c r="P61" t="s">
        <v>140</v>
      </c>
      <c r="Q61">
        <v>5.3</v>
      </c>
      <c r="S61">
        <v>5.3</v>
      </c>
      <c r="T61">
        <v>5.3</v>
      </c>
    </row>
    <row r="62" spans="16:27" hidden="1" x14ac:dyDescent="0.3">
      <c r="P62" t="s">
        <v>141</v>
      </c>
      <c r="Q62">
        <v>5.0999999999999996</v>
      </c>
      <c r="S62">
        <v>5.0999999999999996</v>
      </c>
      <c r="T62">
        <v>5.0999999999999996</v>
      </c>
    </row>
    <row r="63" spans="16:27" hidden="1" x14ac:dyDescent="0.3">
      <c r="P63" t="s">
        <v>142</v>
      </c>
      <c r="Q63">
        <v>5.0999999999999996</v>
      </c>
      <c r="S63">
        <v>5.0999999999999996</v>
      </c>
      <c r="T63">
        <v>5.0999999999999996</v>
      </c>
    </row>
    <row r="64" spans="16:27" hidden="1" x14ac:dyDescent="0.3">
      <c r="P64" t="s">
        <v>143</v>
      </c>
      <c r="Q64">
        <v>4.9000000000000004</v>
      </c>
      <c r="S64">
        <v>4.9000000000000004</v>
      </c>
      <c r="T64">
        <v>4.9000000000000004</v>
      </c>
    </row>
    <row r="65" spans="16:20" hidden="1" x14ac:dyDescent="0.3">
      <c r="P65" t="s">
        <v>144</v>
      </c>
      <c r="Q65">
        <v>4.8</v>
      </c>
      <c r="S65">
        <v>4.8</v>
      </c>
      <c r="T65">
        <v>4.8</v>
      </c>
    </row>
    <row r="66" spans="16:20" hidden="1" x14ac:dyDescent="0.3">
      <c r="P66" t="s">
        <v>145</v>
      </c>
      <c r="Q66">
        <v>4.7</v>
      </c>
      <c r="S66">
        <v>4.7</v>
      </c>
      <c r="T66">
        <v>4.7</v>
      </c>
    </row>
    <row r="67" spans="16:20" hidden="1" x14ac:dyDescent="0.3">
      <c r="P67" t="s">
        <v>146</v>
      </c>
      <c r="Q67">
        <v>4.5999999999999996</v>
      </c>
      <c r="S67">
        <v>4.5999999999999996</v>
      </c>
      <c r="T67">
        <v>4.5999999999999996</v>
      </c>
    </row>
    <row r="68" spans="16:20" hidden="1" x14ac:dyDescent="0.3">
      <c r="P68" t="s">
        <v>147</v>
      </c>
      <c r="Q68">
        <v>4.4000000000000004</v>
      </c>
      <c r="S68">
        <v>4.4000000000000004</v>
      </c>
      <c r="T68">
        <v>4.4000000000000004</v>
      </c>
    </row>
    <row r="69" spans="16:20" hidden="1" x14ac:dyDescent="0.3">
      <c r="P69" t="s">
        <v>148</v>
      </c>
      <c r="Q69">
        <v>4.3</v>
      </c>
      <c r="S69">
        <v>4.3</v>
      </c>
      <c r="T69">
        <v>4.3</v>
      </c>
    </row>
    <row r="70" spans="16:20" hidden="1" x14ac:dyDescent="0.3">
      <c r="P70" t="s">
        <v>149</v>
      </c>
      <c r="Q70">
        <v>4.4000000000000004</v>
      </c>
      <c r="S70">
        <v>4.4000000000000004</v>
      </c>
      <c r="T70">
        <v>4.4000000000000004</v>
      </c>
    </row>
    <row r="71" spans="16:20" hidden="1" x14ac:dyDescent="0.3">
      <c r="P71" t="s">
        <v>150</v>
      </c>
      <c r="Q71">
        <v>4.2</v>
      </c>
      <c r="S71">
        <v>4.2</v>
      </c>
      <c r="T71">
        <v>4.2</v>
      </c>
    </row>
    <row r="72" spans="16:20" hidden="1" x14ac:dyDescent="0.3">
      <c r="P72" t="s">
        <v>151</v>
      </c>
      <c r="Q72">
        <v>4</v>
      </c>
      <c r="S72">
        <v>4</v>
      </c>
      <c r="T72">
        <v>4</v>
      </c>
    </row>
    <row r="73" spans="16:20" hidden="1" x14ac:dyDescent="0.3">
      <c r="P73" t="s">
        <v>152</v>
      </c>
      <c r="Q73">
        <v>4.0999999999999996</v>
      </c>
      <c r="S73">
        <v>4.0999999999999996</v>
      </c>
      <c r="T73">
        <v>4.0999999999999996</v>
      </c>
    </row>
    <row r="74" spans="16:20" hidden="1" x14ac:dyDescent="0.3">
      <c r="P74" t="s">
        <v>153</v>
      </c>
      <c r="Q74">
        <v>4</v>
      </c>
      <c r="S74">
        <v>4</v>
      </c>
      <c r="T74">
        <v>4</v>
      </c>
    </row>
    <row r="75" spans="16:20" hidden="1" x14ac:dyDescent="0.3">
      <c r="P75" t="s">
        <v>154</v>
      </c>
      <c r="Q75">
        <v>3.8</v>
      </c>
      <c r="S75">
        <v>3.8</v>
      </c>
      <c r="T75">
        <v>3.8</v>
      </c>
    </row>
    <row r="76" spans="16:20" hidden="1" x14ac:dyDescent="0.3">
      <c r="P76" t="s">
        <v>155</v>
      </c>
      <c r="Q76">
        <v>3.9</v>
      </c>
      <c r="S76">
        <v>3.9</v>
      </c>
      <c r="T76">
        <v>3.9</v>
      </c>
    </row>
    <row r="77" spans="16:20" hidden="1" x14ac:dyDescent="0.3">
      <c r="P77" t="s">
        <v>156</v>
      </c>
      <c r="Q77">
        <v>3.8</v>
      </c>
      <c r="S77">
        <v>3.8</v>
      </c>
      <c r="T77">
        <v>3.8</v>
      </c>
    </row>
    <row r="78" spans="16:20" hidden="1" x14ac:dyDescent="0.3">
      <c r="P78" t="s">
        <v>157</v>
      </c>
      <c r="Q78">
        <v>3.8</v>
      </c>
      <c r="R78">
        <v>3.8</v>
      </c>
      <c r="S78">
        <v>3.8</v>
      </c>
      <c r="T78">
        <v>3.8</v>
      </c>
    </row>
    <row r="79" spans="16:20" hidden="1" x14ac:dyDescent="0.3">
      <c r="P79" t="s">
        <v>158</v>
      </c>
      <c r="Q79">
        <v>4</v>
      </c>
      <c r="R79">
        <v>3.8</v>
      </c>
      <c r="S79">
        <v>4</v>
      </c>
      <c r="T79">
        <v>4</v>
      </c>
    </row>
    <row r="80" spans="16:20" hidden="1" x14ac:dyDescent="0.3">
      <c r="P80" t="s">
        <v>159</v>
      </c>
      <c r="Q80">
        <v>4.0999999999999996</v>
      </c>
      <c r="R80">
        <v>3.8</v>
      </c>
      <c r="S80">
        <v>4.0999999999999996</v>
      </c>
      <c r="T80">
        <v>4.0999999999999996</v>
      </c>
    </row>
    <row r="81" spans="16:23" hidden="1" x14ac:dyDescent="0.3">
      <c r="P81" t="s">
        <v>160</v>
      </c>
      <c r="Q81">
        <v>4.8</v>
      </c>
      <c r="R81">
        <v>3.9</v>
      </c>
      <c r="S81">
        <v>4.8</v>
      </c>
      <c r="T81">
        <v>4.8</v>
      </c>
      <c r="U81">
        <v>4.8</v>
      </c>
      <c r="W81">
        <v>4.8</v>
      </c>
    </row>
    <row r="82" spans="16:23" hidden="1" x14ac:dyDescent="0.3">
      <c r="P82" t="s">
        <v>161</v>
      </c>
      <c r="R82">
        <v>3.9</v>
      </c>
      <c r="S82">
        <v>5.0999999999999996</v>
      </c>
      <c r="T82">
        <v>4.8</v>
      </c>
      <c r="U82">
        <v>4.8</v>
      </c>
      <c r="V82">
        <v>0.4</v>
      </c>
      <c r="W82">
        <v>5.0999999999999996</v>
      </c>
    </row>
    <row r="83" spans="16:23" hidden="1" x14ac:dyDescent="0.3">
      <c r="P83" t="s">
        <v>162</v>
      </c>
      <c r="R83">
        <v>3.8</v>
      </c>
      <c r="S83">
        <v>5.7</v>
      </c>
      <c r="T83">
        <v>4.8</v>
      </c>
      <c r="U83">
        <v>5.0999999999999996</v>
      </c>
      <c r="V83">
        <v>1</v>
      </c>
      <c r="W83">
        <v>5.2</v>
      </c>
    </row>
    <row r="84" spans="16:23" hidden="1" x14ac:dyDescent="0.3">
      <c r="P84" t="s">
        <v>163</v>
      </c>
      <c r="R84">
        <v>3.8</v>
      </c>
      <c r="S84">
        <v>8.6999999999999993</v>
      </c>
      <c r="T84">
        <v>5.0999999999999996</v>
      </c>
      <c r="U84">
        <v>7.5</v>
      </c>
      <c r="V84">
        <v>3.7</v>
      </c>
      <c r="W84">
        <v>5.2</v>
      </c>
    </row>
    <row r="85" spans="16:23" hidden="1" x14ac:dyDescent="0.3">
      <c r="P85" t="s">
        <v>164</v>
      </c>
      <c r="R85">
        <v>3.8</v>
      </c>
      <c r="S85">
        <v>9.3000000000000007</v>
      </c>
      <c r="T85">
        <v>4.7</v>
      </c>
      <c r="U85">
        <v>7.4</v>
      </c>
      <c r="V85">
        <v>4.5999999999999996</v>
      </c>
      <c r="W85">
        <v>5.6</v>
      </c>
    </row>
    <row r="86" spans="16:23" hidden="1" x14ac:dyDescent="0.3">
      <c r="P86" t="s">
        <v>165</v>
      </c>
      <c r="R86">
        <v>3.9</v>
      </c>
      <c r="S86">
        <v>10</v>
      </c>
      <c r="T86">
        <v>4.2</v>
      </c>
      <c r="U86">
        <v>7.2</v>
      </c>
      <c r="V86">
        <v>5.8</v>
      </c>
      <c r="W86">
        <v>6.5</v>
      </c>
    </row>
    <row r="87" spans="16:23" hidden="1" x14ac:dyDescent="0.3">
      <c r="P87" t="s">
        <v>166</v>
      </c>
      <c r="R87">
        <v>3.9</v>
      </c>
      <c r="S87">
        <v>11</v>
      </c>
      <c r="T87">
        <v>3.9</v>
      </c>
      <c r="U87">
        <v>7</v>
      </c>
      <c r="V87">
        <v>7.1</v>
      </c>
      <c r="W87">
        <v>6.3</v>
      </c>
    </row>
    <row r="88" spans="16:23" hidden="1" x14ac:dyDescent="0.3">
      <c r="P88" t="s">
        <v>167</v>
      </c>
      <c r="R88">
        <v>3.9</v>
      </c>
      <c r="S88">
        <v>10.9</v>
      </c>
      <c r="T88">
        <v>3.9</v>
      </c>
      <c r="U88">
        <v>6.7</v>
      </c>
      <c r="V88">
        <v>7</v>
      </c>
      <c r="W88">
        <v>6</v>
      </c>
    </row>
    <row r="89" spans="16:23" hidden="1" x14ac:dyDescent="0.3">
      <c r="P89" t="s">
        <v>168</v>
      </c>
      <c r="R89">
        <v>3.9</v>
      </c>
      <c r="S89">
        <v>10</v>
      </c>
      <c r="T89">
        <v>3.9</v>
      </c>
      <c r="U89">
        <v>6.3</v>
      </c>
      <c r="V89">
        <v>6.1</v>
      </c>
      <c r="W89">
        <v>5.8</v>
      </c>
    </row>
    <row r="90" spans="16:23" hidden="1" x14ac:dyDescent="0.3">
      <c r="P90" t="s">
        <v>169</v>
      </c>
      <c r="R90">
        <v>3.9</v>
      </c>
      <c r="S90">
        <v>9.6999999999999993</v>
      </c>
      <c r="T90">
        <v>3.9</v>
      </c>
      <c r="U90">
        <v>6.1</v>
      </c>
      <c r="V90">
        <v>5.7</v>
      </c>
      <c r="W90">
        <v>5.6</v>
      </c>
    </row>
    <row r="91" spans="16:23" hidden="1" x14ac:dyDescent="0.3">
      <c r="P91" t="s">
        <v>170</v>
      </c>
      <c r="R91">
        <v>4</v>
      </c>
      <c r="S91">
        <v>9</v>
      </c>
      <c r="T91">
        <v>4</v>
      </c>
      <c r="U91">
        <v>5.8</v>
      </c>
      <c r="V91">
        <v>5</v>
      </c>
      <c r="W91">
        <v>5.4</v>
      </c>
    </row>
    <row r="92" spans="16:23" hidden="1" x14ac:dyDescent="0.3">
      <c r="P92" t="s">
        <v>171</v>
      </c>
      <c r="R92">
        <v>4</v>
      </c>
      <c r="S92">
        <v>8.3000000000000007</v>
      </c>
      <c r="T92">
        <v>4</v>
      </c>
      <c r="U92">
        <v>5.5</v>
      </c>
      <c r="V92">
        <v>4.3</v>
      </c>
      <c r="W92">
        <v>5.2</v>
      </c>
    </row>
    <row r="93" spans="16:23" hidden="1" x14ac:dyDescent="0.3">
      <c r="P93" t="s">
        <v>172</v>
      </c>
      <c r="R93">
        <v>4</v>
      </c>
      <c r="S93">
        <v>7.6</v>
      </c>
      <c r="T93">
        <v>4</v>
      </c>
      <c r="U93">
        <v>5.3</v>
      </c>
      <c r="V93">
        <v>3.5</v>
      </c>
      <c r="W93">
        <v>5</v>
      </c>
    </row>
    <row r="94" spans="16:23" hidden="1" x14ac:dyDescent="0.3">
      <c r="P94" t="s">
        <v>173</v>
      </c>
      <c r="R94">
        <v>4.0999999999999996</v>
      </c>
      <c r="S94">
        <v>6.9</v>
      </c>
      <c r="T94">
        <v>4.0999999999999996</v>
      </c>
      <c r="U94">
        <v>5</v>
      </c>
      <c r="V94">
        <v>2.8</v>
      </c>
      <c r="W94">
        <v>4.8</v>
      </c>
    </row>
    <row r="95" spans="16:23" hidden="1" x14ac:dyDescent="0.3">
      <c r="P95" t="s">
        <v>174</v>
      </c>
      <c r="R95">
        <v>4.0999999999999996</v>
      </c>
      <c r="S95">
        <v>6.1</v>
      </c>
      <c r="T95">
        <v>4.0999999999999996</v>
      </c>
      <c r="U95">
        <v>4.7</v>
      </c>
      <c r="V95">
        <v>2</v>
      </c>
      <c r="W95">
        <v>4.7</v>
      </c>
    </row>
    <row r="96" spans="16:23" hidden="1" x14ac:dyDescent="0.3">
      <c r="P96" t="s">
        <v>175</v>
      </c>
      <c r="R96">
        <v>4.0999999999999996</v>
      </c>
      <c r="S96">
        <v>5.8</v>
      </c>
      <c r="T96">
        <v>4.0999999999999996</v>
      </c>
      <c r="U96">
        <v>4.5999999999999996</v>
      </c>
      <c r="V96">
        <v>1.6</v>
      </c>
      <c r="W96">
        <v>4.5</v>
      </c>
    </row>
    <row r="97" spans="16:26" hidden="1" x14ac:dyDescent="0.3">
      <c r="P97" t="s">
        <v>176</v>
      </c>
      <c r="R97">
        <v>4.0999999999999996</v>
      </c>
      <c r="S97">
        <v>5.5</v>
      </c>
      <c r="T97">
        <v>4.0999999999999996</v>
      </c>
      <c r="U97">
        <v>4.5</v>
      </c>
      <c r="V97">
        <v>1.3</v>
      </c>
      <c r="W97">
        <v>4.5</v>
      </c>
    </row>
    <row r="98" spans="16:26" hidden="1" x14ac:dyDescent="0.3">
      <c r="P98" t="s">
        <v>177</v>
      </c>
      <c r="R98">
        <v>4.0999999999999996</v>
      </c>
      <c r="S98">
        <v>5.3</v>
      </c>
      <c r="T98">
        <v>4.0999999999999996</v>
      </c>
      <c r="U98">
        <v>4.4000000000000004</v>
      </c>
      <c r="V98">
        <v>1.1000000000000001</v>
      </c>
      <c r="W98">
        <v>4.4000000000000004</v>
      </c>
    </row>
    <row r="99" spans="16:26" hidden="1" x14ac:dyDescent="0.3">
      <c r="P99" t="s">
        <v>178</v>
      </c>
      <c r="R99">
        <v>4.0999999999999996</v>
      </c>
      <c r="S99">
        <v>5.2</v>
      </c>
      <c r="T99">
        <v>4.0999999999999996</v>
      </c>
      <c r="U99">
        <v>4.4000000000000004</v>
      </c>
      <c r="V99">
        <v>1.1000000000000001</v>
      </c>
      <c r="W99">
        <v>4.4000000000000004</v>
      </c>
    </row>
    <row r="100" spans="16:26" hidden="1" x14ac:dyDescent="0.3">
      <c r="P100" t="s">
        <v>179</v>
      </c>
      <c r="S100">
        <v>5.2</v>
      </c>
      <c r="T100">
        <v>4.0999999999999996</v>
      </c>
      <c r="U100">
        <v>4.4000000000000004</v>
      </c>
      <c r="V100">
        <v>1.1000000000000001</v>
      </c>
      <c r="W100">
        <v>4.4000000000000004</v>
      </c>
    </row>
    <row r="101" spans="16:26" hidden="1" x14ac:dyDescent="0.3">
      <c r="P101" t="s">
        <v>180</v>
      </c>
      <c r="S101">
        <v>5.2</v>
      </c>
      <c r="T101">
        <v>4.0999999999999996</v>
      </c>
      <c r="U101">
        <v>4.4000000000000004</v>
      </c>
      <c r="V101">
        <v>1.1000000000000001</v>
      </c>
      <c r="W101">
        <v>4.4000000000000004</v>
      </c>
    </row>
    <row r="102" spans="16:26" hidden="1" x14ac:dyDescent="0.3">
      <c r="P102" t="s">
        <v>181</v>
      </c>
      <c r="S102">
        <v>5.2</v>
      </c>
      <c r="T102">
        <v>4.0999999999999996</v>
      </c>
      <c r="U102">
        <v>4.4000000000000004</v>
      </c>
      <c r="V102">
        <v>1.1000000000000001</v>
      </c>
      <c r="W102">
        <v>4.4000000000000004</v>
      </c>
    </row>
    <row r="103" spans="16:26" hidden="1" x14ac:dyDescent="0.3">
      <c r="P103" t="s">
        <v>182</v>
      </c>
      <c r="S103">
        <v>5.2</v>
      </c>
      <c r="T103">
        <v>4.0999999999999996</v>
      </c>
      <c r="U103">
        <v>4.4000000000000004</v>
      </c>
      <c r="V103">
        <v>1.1000000000000001</v>
      </c>
      <c r="W103">
        <v>4.4000000000000004</v>
      </c>
    </row>
    <row r="108" spans="16:26" hidden="1" x14ac:dyDescent="0.3">
      <c r="T108" s="164">
        <f>T22</f>
        <v>1628615.5846317981</v>
      </c>
      <c r="U108" s="164">
        <f t="shared" ref="U108:Z108" si="14">U22</f>
        <v>1723812.8852903137</v>
      </c>
      <c r="V108" s="164">
        <f t="shared" si="14"/>
        <v>1793794.2991952354</v>
      </c>
      <c r="W108" s="164">
        <f t="shared" si="14"/>
        <v>1808144.6535887972</v>
      </c>
      <c r="X108" s="164">
        <f t="shared" si="14"/>
        <v>1822609.8108175076</v>
      </c>
      <c r="Y108" s="164">
        <f t="shared" si="14"/>
        <v>1837190.6893040475</v>
      </c>
      <c r="Z108" s="164">
        <f t="shared" si="14"/>
        <v>1851888.2148184797</v>
      </c>
    </row>
    <row r="109" spans="16:26" hidden="1" x14ac:dyDescent="0.3">
      <c r="T109" s="165">
        <f>T24</f>
        <v>-259816</v>
      </c>
      <c r="U109" s="165">
        <f t="shared" ref="U109:Z109" si="15">U24</f>
        <v>-282805.66236907674</v>
      </c>
      <c r="V109" s="165">
        <f t="shared" si="15"/>
        <v>-303248.7682773642</v>
      </c>
      <c r="W109" s="165">
        <f t="shared" si="15"/>
        <v>-303851.04382406001</v>
      </c>
      <c r="X109" s="165">
        <f t="shared" si="15"/>
        <v>-299621.3292894378</v>
      </c>
      <c r="Y109" s="165">
        <f t="shared" si="15"/>
        <v>-297940.66977847356</v>
      </c>
      <c r="Z109" s="165">
        <f t="shared" si="15"/>
        <v>-299863.62706485135</v>
      </c>
    </row>
    <row r="110" spans="16:26" hidden="1" x14ac:dyDescent="0.3">
      <c r="T110" s="166">
        <f>T13</f>
        <v>1342792.392523794</v>
      </c>
      <c r="U110" s="166">
        <f t="shared" ref="U110:Z110" si="16">U13</f>
        <v>1441007.2229212369</v>
      </c>
      <c r="V110" s="166">
        <f t="shared" si="16"/>
        <v>1490545.5309178713</v>
      </c>
      <c r="W110" s="166">
        <f t="shared" si="16"/>
        <v>1504293.6097647371</v>
      </c>
      <c r="X110" s="166">
        <f t="shared" si="16"/>
        <v>1522988.4815280698</v>
      </c>
      <c r="Y110" s="166">
        <f t="shared" si="16"/>
        <v>1539250.0195255741</v>
      </c>
      <c r="Z110" s="166">
        <f t="shared" si="16"/>
        <v>1552024.5877536284</v>
      </c>
    </row>
    <row r="111" spans="16:26" hidden="1" x14ac:dyDescent="0.3">
      <c r="T111" s="164">
        <f>T13</f>
        <v>1342792.392523794</v>
      </c>
      <c r="U111" s="164">
        <f t="shared" ref="U111:Z111" si="17">U13</f>
        <v>1441007.2229212369</v>
      </c>
      <c r="V111" s="164">
        <f t="shared" si="17"/>
        <v>1490545.5309178713</v>
      </c>
      <c r="W111" s="164">
        <f t="shared" si="17"/>
        <v>1504293.6097647371</v>
      </c>
      <c r="X111" s="164">
        <f t="shared" si="17"/>
        <v>1522988.4815280698</v>
      </c>
      <c r="Y111" s="164">
        <f t="shared" si="17"/>
        <v>1539250.0195255741</v>
      </c>
      <c r="Z111" s="164">
        <f t="shared" si="17"/>
        <v>1552024.5877536284</v>
      </c>
    </row>
    <row r="117" spans="20:26" hidden="1" x14ac:dyDescent="0.3">
      <c r="T117" s="164">
        <v>0</v>
      </c>
      <c r="U117" s="164">
        <f t="shared" ref="U117:Z120" si="18">U108/1000</f>
        <v>1723.8128852903137</v>
      </c>
      <c r="V117" s="164">
        <f t="shared" si="18"/>
        <v>1793.7942991952355</v>
      </c>
      <c r="W117" s="164">
        <f t="shared" si="18"/>
        <v>1808.1446535887972</v>
      </c>
      <c r="X117" s="164">
        <f t="shared" si="18"/>
        <v>1822.6098108175077</v>
      </c>
      <c r="Y117" s="164">
        <f t="shared" si="18"/>
        <v>1837.1906893040475</v>
      </c>
      <c r="Z117" s="164">
        <f t="shared" si="18"/>
        <v>1851.8882148184798</v>
      </c>
    </row>
    <row r="118" spans="20:26" hidden="1" x14ac:dyDescent="0.3">
      <c r="T118" s="164">
        <v>0</v>
      </c>
      <c r="U118" s="164">
        <f t="shared" si="18"/>
        <v>-282.80566236907674</v>
      </c>
      <c r="V118" s="164">
        <f t="shared" si="18"/>
        <v>-303.24876827736421</v>
      </c>
      <c r="W118" s="164">
        <f t="shared" si="18"/>
        <v>-303.85104382406001</v>
      </c>
      <c r="X118" s="164">
        <f t="shared" si="18"/>
        <v>-299.62132928943777</v>
      </c>
      <c r="Y118" s="164">
        <f t="shared" si="18"/>
        <v>-297.94066977847353</v>
      </c>
      <c r="Z118" s="164">
        <f t="shared" si="18"/>
        <v>-299.86362706485136</v>
      </c>
    </row>
    <row r="119" spans="20:26" hidden="1" x14ac:dyDescent="0.3">
      <c r="T119" s="166">
        <f>T117+T118</f>
        <v>0</v>
      </c>
      <c r="U119" s="166">
        <f t="shared" si="18"/>
        <v>1441.0072229212369</v>
      </c>
      <c r="V119" s="166">
        <f t="shared" si="18"/>
        <v>1490.5455309178712</v>
      </c>
      <c r="W119" s="166">
        <f t="shared" si="18"/>
        <v>1504.2936097647371</v>
      </c>
      <c r="X119" s="166">
        <f t="shared" si="18"/>
        <v>1522.9884815280698</v>
      </c>
      <c r="Y119" s="166">
        <f t="shared" si="18"/>
        <v>1539.2500195255741</v>
      </c>
      <c r="Z119" s="166">
        <f t="shared" si="18"/>
        <v>1552.0245877536283</v>
      </c>
    </row>
    <row r="120" spans="20:26" hidden="1" x14ac:dyDescent="0.3">
      <c r="T120" s="164"/>
      <c r="U120" s="164">
        <f t="shared" si="18"/>
        <v>1441.0072229212369</v>
      </c>
      <c r="V120" s="164">
        <f t="shared" si="18"/>
        <v>1490.5455309178712</v>
      </c>
      <c r="W120" s="164">
        <f t="shared" si="18"/>
        <v>1504.2936097647371</v>
      </c>
      <c r="X120" s="164">
        <f t="shared" si="18"/>
        <v>1522.9884815280698</v>
      </c>
      <c r="Y120" s="164">
        <f t="shared" si="18"/>
        <v>1539.2500195255741</v>
      </c>
      <c r="Z120" s="164">
        <f t="shared" si="18"/>
        <v>1552.0245877536283</v>
      </c>
    </row>
    <row r="121" spans="20:26" hidden="1" x14ac:dyDescent="0.3">
      <c r="U121" s="164">
        <f>U120-T120</f>
        <v>1441.0072229212369</v>
      </c>
      <c r="V121" s="164">
        <f t="shared" ref="V121:Z121" si="19">V120-U120</f>
        <v>49.53830799663433</v>
      </c>
      <c r="W121" s="164">
        <f t="shared" si="19"/>
        <v>13.748078846865837</v>
      </c>
      <c r="X121" s="164">
        <f t="shared" si="19"/>
        <v>18.694871763332685</v>
      </c>
      <c r="Y121" s="164">
        <f t="shared" si="19"/>
        <v>16.26153799750432</v>
      </c>
      <c r="Z121" s="164">
        <f t="shared" si="19"/>
        <v>12.77456822805425</v>
      </c>
    </row>
    <row r="122" spans="20:26" hidden="1" x14ac:dyDescent="0.3">
      <c r="U122" s="135" t="e">
        <f>U121/T120</f>
        <v>#DIV/0!</v>
      </c>
      <c r="V122" s="135">
        <f t="shared" ref="V122:Z122" si="20">V121/U120</f>
        <v>3.4377557036951792E-2</v>
      </c>
      <c r="W122" s="135">
        <f t="shared" si="20"/>
        <v>9.2235215642153725E-3</v>
      </c>
      <c r="X122" s="135">
        <f t="shared" si="20"/>
        <v>1.2427674785015178E-2</v>
      </c>
      <c r="Y122" s="135">
        <f t="shared" si="20"/>
        <v>1.067738738325094E-2</v>
      </c>
      <c r="Z122" s="135">
        <f t="shared" si="20"/>
        <v>8.2992158947586773E-3</v>
      </c>
    </row>
  </sheetData>
  <mergeCells count="10">
    <mergeCell ref="M40:X40"/>
    <mergeCell ref="P46:S46"/>
    <mergeCell ref="P47:S47"/>
    <mergeCell ref="A1:B1"/>
    <mergeCell ref="T8:T10"/>
    <mergeCell ref="U9:U10"/>
    <mergeCell ref="M36:X36"/>
    <mergeCell ref="M37:X37"/>
    <mergeCell ref="M38:X38"/>
    <mergeCell ref="M39:X39"/>
  </mergeCells>
  <hyperlinks>
    <hyperlink ref="A1" location="Contents!A1" display="Back to contents" xr:uid="{796365A7-0938-403E-A0E8-A7F0883EDF24}"/>
    <hyperlink ref="P54" r:id="rId1" xr:uid="{4472D7EE-F7A4-4102-B3F6-70FE67660795}"/>
  </hyperlinks>
  <pageMargins left="0.7" right="0.7" top="0.75" bottom="0.75" header="0.3" footer="0.3"/>
  <pageSetup paperSize="9" scale="61"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3DCA-7000-46FD-9860-40DDA05927D8}">
  <sheetPr>
    <tabColor theme="0"/>
    <pageSetUpPr fitToPage="1"/>
  </sheetPr>
  <dimension ref="A1:AA123"/>
  <sheetViews>
    <sheetView zoomScaleNormal="100" workbookViewId="0">
      <selection activeCell="B8" sqref="B8:I11"/>
    </sheetView>
  </sheetViews>
  <sheetFormatPr defaultColWidth="0" defaultRowHeight="14.4" zeroHeight="1" x14ac:dyDescent="0.3"/>
  <cols>
    <col min="1" max="1" width="9.5546875" style="2" customWidth="1"/>
    <col min="2" max="2" width="47.88671875" style="2" bestFit="1" customWidth="1"/>
    <col min="3" max="9" width="10.77734375" style="2" customWidth="1"/>
    <col min="10" max="10" width="9.5546875" style="2" bestFit="1" customWidth="1"/>
    <col min="11" max="12" width="8.88671875" hidden="1" customWidth="1"/>
    <col min="13" max="13" width="37.33203125" hidden="1" customWidth="1"/>
    <col min="14" max="15" width="11.21875" hidden="1" customWidth="1"/>
    <col min="16" max="16" width="22.5546875" hidden="1" customWidth="1"/>
    <col min="17" max="19" width="8.88671875" hidden="1" customWidth="1"/>
    <col min="20" max="20" width="13.33203125" hidden="1" customWidth="1"/>
    <col min="21" max="21" width="12" hidden="1" customWidth="1"/>
    <col min="22" max="22" width="12.6640625" hidden="1" customWidth="1"/>
    <col min="23" max="23" width="11.5546875" hidden="1" customWidth="1"/>
    <col min="24" max="24" width="15.44140625" hidden="1" customWidth="1"/>
    <col min="25" max="25" width="8.88671875" hidden="1" customWidth="1"/>
    <col min="26" max="26" width="13.109375" hidden="1" customWidth="1"/>
    <col min="27" max="16384" width="8.88671875" hidden="1"/>
  </cols>
  <sheetData>
    <row r="1" spans="1:27" x14ac:dyDescent="0.3">
      <c r="A1" s="186" t="s">
        <v>9</v>
      </c>
      <c r="B1" s="186"/>
      <c r="C1" s="1"/>
      <c r="D1" s="1"/>
      <c r="E1" s="192" t="s">
        <v>202</v>
      </c>
      <c r="F1" s="192"/>
      <c r="G1" s="192"/>
      <c r="K1" s="13"/>
    </row>
    <row r="2" spans="1:27" x14ac:dyDescent="0.3">
      <c r="A2" s="1"/>
      <c r="B2" s="1"/>
      <c r="C2" s="1"/>
      <c r="D2" s="1"/>
      <c r="K2" s="13"/>
    </row>
    <row r="3" spans="1:27" ht="15.6" x14ac:dyDescent="0.3">
      <c r="A3" s="49">
        <v>1.1000000000000001</v>
      </c>
      <c r="B3" s="18" t="s">
        <v>86</v>
      </c>
      <c r="C3" s="1"/>
      <c r="H3" s="12" t="s">
        <v>199</v>
      </c>
      <c r="I3" s="175">
        <v>4.4999999999999998E-2</v>
      </c>
      <c r="J3" s="1"/>
      <c r="K3" s="13"/>
    </row>
    <row r="4" spans="1:27" ht="15.6" x14ac:dyDescent="0.3">
      <c r="A4" s="18"/>
      <c r="C4" s="1"/>
      <c r="K4" s="13"/>
    </row>
    <row r="5" spans="1:27" ht="15.6" x14ac:dyDescent="0.3">
      <c r="A5" s="18"/>
      <c r="C5" s="1"/>
      <c r="D5" s="1"/>
      <c r="E5" s="1"/>
      <c r="F5" s="1"/>
      <c r="G5" s="1"/>
      <c r="H5" s="1"/>
      <c r="I5" s="69" t="s">
        <v>78</v>
      </c>
      <c r="J5" s="1"/>
      <c r="K5" s="13"/>
    </row>
    <row r="6" spans="1:27" ht="30.6" customHeight="1" x14ac:dyDescent="0.3">
      <c r="A6" s="18"/>
      <c r="B6" s="47" t="s">
        <v>200</v>
      </c>
      <c r="C6" s="48" t="s">
        <v>10</v>
      </c>
      <c r="D6" s="48" t="s">
        <v>11</v>
      </c>
      <c r="E6" s="48" t="s">
        <v>12</v>
      </c>
      <c r="F6" s="48" t="s">
        <v>13</v>
      </c>
      <c r="G6" s="48" t="s">
        <v>14</v>
      </c>
      <c r="H6" s="48" t="s">
        <v>15</v>
      </c>
      <c r="I6" s="48" t="s">
        <v>16</v>
      </c>
      <c r="J6" s="1"/>
      <c r="K6" s="13"/>
    </row>
    <row r="7" spans="1:27" ht="7.05" customHeight="1" x14ac:dyDescent="0.3">
      <c r="A7" s="18"/>
      <c r="B7" s="8"/>
      <c r="C7" s="4"/>
      <c r="D7" s="4"/>
      <c r="E7" s="4"/>
      <c r="F7" s="4"/>
      <c r="G7" s="4"/>
      <c r="H7" s="4"/>
      <c r="I7" s="4"/>
      <c r="J7" s="1"/>
      <c r="K7" s="13"/>
    </row>
    <row r="8" spans="1:27" ht="14.4" customHeight="1" x14ac:dyDescent="0.3">
      <c r="A8" s="18"/>
      <c r="B8" s="8" t="s">
        <v>87</v>
      </c>
      <c r="C8" s="4"/>
      <c r="D8" s="4"/>
      <c r="E8" s="4"/>
      <c r="F8" s="4"/>
      <c r="G8" s="4"/>
      <c r="H8" s="4"/>
      <c r="I8" s="4"/>
      <c r="J8" s="1"/>
      <c r="K8" s="13"/>
      <c r="L8" s="1" t="s">
        <v>183</v>
      </c>
      <c r="N8" s="78"/>
      <c r="O8" s="78"/>
      <c r="P8" s="78"/>
      <c r="Q8" s="78"/>
      <c r="R8" s="78"/>
      <c r="S8" s="78"/>
      <c r="T8" s="187" t="s">
        <v>92</v>
      </c>
      <c r="U8" s="78"/>
      <c r="V8" s="78"/>
      <c r="W8" s="78"/>
      <c r="X8" s="78"/>
      <c r="Y8" s="78"/>
      <c r="Z8" s="78"/>
      <c r="AA8" s="1"/>
    </row>
    <row r="9" spans="1:27" ht="14.4" customHeight="1" x14ac:dyDescent="0.3">
      <c r="A9" s="18"/>
      <c r="B9" s="19" t="s">
        <v>88</v>
      </c>
      <c r="C9" s="58">
        <f>('3.1'!C29-'2.1'!C13)</f>
        <v>-1.4615274176321691E-4</v>
      </c>
      <c r="D9" s="58">
        <f>'3.1'!D29-'2.1'!D13</f>
        <v>32.351517407020765</v>
      </c>
      <c r="E9" s="58">
        <f>'3.1'!E29-'2.1'!E13</f>
        <v>172.84044558882943</v>
      </c>
      <c r="F9" s="58">
        <f>('3.1'!F29-'2.1'!F13)-'3.1'!F$11+('1.1'!W$13/1000)</f>
        <v>83.003941234370586</v>
      </c>
      <c r="G9" s="58">
        <f>('3.1'!G29-'2.1'!G13)-'3.1'!G$11+('1.1'!X$13/1000)</f>
        <v>154.89889352163209</v>
      </c>
      <c r="H9" s="58">
        <f>('3.1'!H29-'2.1'!H13)-'3.1'!H$11+('1.1'!Y$13/1000)</f>
        <v>248.20423522753481</v>
      </c>
      <c r="I9" s="58">
        <f>('3.1'!I29-'2.1'!I13)-'3.1'!I$11+('1.1'!Z$13/1000)</f>
        <v>375.67083777045445</v>
      </c>
      <c r="J9" s="1"/>
      <c r="K9" s="13"/>
      <c r="L9" s="2"/>
      <c r="M9" s="79"/>
      <c r="N9" s="80"/>
      <c r="O9" s="80"/>
      <c r="P9" s="80"/>
      <c r="Q9" s="78"/>
      <c r="R9" s="78"/>
      <c r="S9" s="78"/>
      <c r="T9" s="187"/>
      <c r="U9" s="187" t="s">
        <v>93</v>
      </c>
      <c r="V9" s="78"/>
      <c r="W9" s="78"/>
      <c r="X9" s="78"/>
      <c r="Y9" s="78"/>
      <c r="Z9" s="78"/>
      <c r="AA9" s="1"/>
    </row>
    <row r="10" spans="1:27" ht="14.4" customHeight="1" x14ac:dyDescent="0.3">
      <c r="A10" s="18"/>
      <c r="B10" s="19" t="s">
        <v>89</v>
      </c>
      <c r="C10" s="58">
        <f>'3.1'!C29-'2.2'!C13</f>
        <v>-1.4615274176321691E-4</v>
      </c>
      <c r="D10" s="58">
        <f>'3.1'!D29-'2.2'!D13</f>
        <v>8.9959097340970402</v>
      </c>
      <c r="E10" s="58">
        <f>'3.1'!E29-'2.2'!E13</f>
        <v>27.412835613337847</v>
      </c>
      <c r="F10" s="58">
        <f>('3.1'!F29-'2.2'!F13)-'3.1'!F$11+('1.1'!W$13/1000)</f>
        <v>-178.06453646414298</v>
      </c>
      <c r="G10" s="58">
        <f>('3.1'!G29-'2.2'!G13)-'3.1'!G$11+('1.1'!X$13/1000)</f>
        <v>-167.55080481810364</v>
      </c>
      <c r="H10" s="58">
        <f>('3.1'!H29-'2.2'!H13)-'3.1'!H$11+('1.1'!Y$13/1000)</f>
        <v>-157.79334783627746</v>
      </c>
      <c r="I10" s="58">
        <f>('3.1'!I29-'2.2'!I13)-'3.1'!I$11+('1.1'!Z$13/1000)</f>
        <v>-131.98020784829532</v>
      </c>
      <c r="J10" s="1"/>
      <c r="K10" s="13"/>
      <c r="L10" s="2"/>
      <c r="M10" s="1"/>
      <c r="N10" s="81" t="s">
        <v>92</v>
      </c>
      <c r="O10" s="81" t="s">
        <v>92</v>
      </c>
      <c r="P10" s="81" t="s">
        <v>92</v>
      </c>
      <c r="Q10" s="81" t="s">
        <v>92</v>
      </c>
      <c r="R10" s="81" t="s">
        <v>92</v>
      </c>
      <c r="S10" s="81" t="s">
        <v>92</v>
      </c>
      <c r="T10" s="188"/>
      <c r="U10" s="188"/>
      <c r="V10" s="81" t="s">
        <v>94</v>
      </c>
      <c r="W10" s="81" t="s">
        <v>94</v>
      </c>
      <c r="X10" s="81" t="s">
        <v>94</v>
      </c>
      <c r="Y10" s="81" t="s">
        <v>94</v>
      </c>
      <c r="Z10" s="81" t="s">
        <v>94</v>
      </c>
      <c r="AA10" s="1"/>
    </row>
    <row r="11" spans="1:27" ht="14.4" customHeight="1" x14ac:dyDescent="0.3">
      <c r="A11" s="18"/>
      <c r="B11" s="19" t="s">
        <v>90</v>
      </c>
      <c r="C11" s="58">
        <f>'3.1'!C29-'2.3'!C13</f>
        <v>-1.4615274176321691E-4</v>
      </c>
      <c r="D11" s="58">
        <f>'3.1'!D29-'2.3'!D13</f>
        <v>-14.384152120500403</v>
      </c>
      <c r="E11" s="58">
        <f>'3.1'!E29-'2.3'!E13</f>
        <v>-215.10821318309263</v>
      </c>
      <c r="F11" s="58">
        <f>('3.1'!F29-'2.3'!F13)-'3.1'!F$11+('1.1'!W$13/1000)</f>
        <v>-524.09773358627217</v>
      </c>
      <c r="G11" s="58">
        <f>('3.1'!G29-'2.3'!G13)-'3.1'!G$11+('1.1'!X$13/1000)</f>
        <v>-557.22347959074091</v>
      </c>
      <c r="H11" s="58">
        <f>('3.1'!H29-'2.3'!H13)-'3.1'!H$11+('1.1'!Y$13/1000)</f>
        <v>-594.71539207111346</v>
      </c>
      <c r="I11" s="58">
        <f>('3.1'!I29-'2.3'!I13)-'3.1'!I$11+('1.1'!Z$13/1000)</f>
        <v>-624.03358480234988</v>
      </c>
      <c r="J11" s="1"/>
      <c r="K11" s="13"/>
      <c r="L11" s="2"/>
      <c r="M11" s="82"/>
      <c r="N11" s="83" t="s">
        <v>95</v>
      </c>
      <c r="O11" s="83" t="s">
        <v>96</v>
      </c>
      <c r="P11" s="83" t="s">
        <v>97</v>
      </c>
      <c r="Q11" s="83" t="s">
        <v>98</v>
      </c>
      <c r="R11" s="83" t="s">
        <v>99</v>
      </c>
      <c r="S11" s="83" t="s">
        <v>100</v>
      </c>
      <c r="T11" s="83" t="s">
        <v>10</v>
      </c>
      <c r="U11" s="83" t="s">
        <v>11</v>
      </c>
      <c r="V11" s="83" t="s">
        <v>12</v>
      </c>
      <c r="W11" s="83" t="s">
        <v>13</v>
      </c>
      <c r="X11" s="83" t="s">
        <v>14</v>
      </c>
      <c r="Y11" s="83" t="s">
        <v>15</v>
      </c>
      <c r="Z11" s="83" t="s">
        <v>16</v>
      </c>
      <c r="AA11" s="83" t="s">
        <v>101</v>
      </c>
    </row>
    <row r="12" spans="1:27" ht="14.4" customHeight="1" x14ac:dyDescent="0.3">
      <c r="A12" s="18"/>
      <c r="B12" s="19"/>
      <c r="C12" s="58"/>
      <c r="D12" s="58"/>
      <c r="E12" s="58"/>
      <c r="F12" s="58"/>
      <c r="G12" s="58"/>
      <c r="H12" s="58"/>
      <c r="I12" s="58"/>
      <c r="J12" s="1"/>
      <c r="K12" s="13"/>
      <c r="L12" s="2"/>
      <c r="M12" s="84"/>
      <c r="N12" s="85"/>
      <c r="O12" s="85"/>
      <c r="P12" s="85"/>
      <c r="Q12" s="85"/>
      <c r="R12" s="85"/>
      <c r="S12" s="85"/>
      <c r="T12" s="85"/>
      <c r="U12" s="85"/>
      <c r="V12" s="85"/>
      <c r="W12" s="85"/>
      <c r="X12" s="85"/>
      <c r="Y12" s="85"/>
      <c r="Z12" s="85"/>
      <c r="AA12" s="86"/>
    </row>
    <row r="13" spans="1:27" ht="14.4" customHeight="1" x14ac:dyDescent="0.3">
      <c r="A13" s="18"/>
      <c r="B13" s="8" t="s">
        <v>91</v>
      </c>
      <c r="C13" s="4"/>
      <c r="D13" s="4"/>
      <c r="E13" s="4"/>
      <c r="F13" s="4"/>
      <c r="G13" s="4"/>
      <c r="H13" s="4"/>
      <c r="I13" s="4"/>
      <c r="J13" s="1"/>
      <c r="K13" s="13"/>
      <c r="L13" s="2"/>
      <c r="M13" s="87" t="s">
        <v>102</v>
      </c>
      <c r="N13" s="88">
        <f t="shared" ref="N13:Z13" si="0">N29</f>
        <v>953027.16999509046</v>
      </c>
      <c r="O13" s="88">
        <f t="shared" si="0"/>
        <v>1011626.2459599295</v>
      </c>
      <c r="P13" s="88">
        <f t="shared" si="0"/>
        <v>1074324.7831914925</v>
      </c>
      <c r="Q13" s="88">
        <f t="shared" si="0"/>
        <v>1134181.2243579652</v>
      </c>
      <c r="R13" s="88">
        <f t="shared" si="0"/>
        <v>1187035.9774848334</v>
      </c>
      <c r="S13" s="88">
        <f t="shared" si="0"/>
        <v>1267410.7401731694</v>
      </c>
      <c r="T13" s="88">
        <f t="shared" si="0"/>
        <v>1342792.392523794</v>
      </c>
      <c r="U13" s="88">
        <f t="shared" si="0"/>
        <v>1441007.2229212369</v>
      </c>
      <c r="V13" s="88">
        <f t="shared" si="0"/>
        <v>1490545.5309178713</v>
      </c>
      <c r="W13" s="88">
        <f t="shared" si="0"/>
        <v>1572679.5722572764</v>
      </c>
      <c r="X13" s="88">
        <f t="shared" si="0"/>
        <v>1663956.5691716904</v>
      </c>
      <c r="Y13" s="88">
        <f t="shared" si="0"/>
        <v>1757224.6789198776</v>
      </c>
      <c r="Z13" s="88">
        <f t="shared" si="0"/>
        <v>1851670.7656839832</v>
      </c>
      <c r="AA13" s="89"/>
    </row>
    <row r="14" spans="1:27" ht="14.4" customHeight="1" x14ac:dyDescent="0.3">
      <c r="A14" s="18"/>
      <c r="B14" s="19" t="s">
        <v>88</v>
      </c>
      <c r="C14" s="58">
        <f>('3.2'!C29-'2.1'!C13)</f>
        <v>-1.4615274176321691E-4</v>
      </c>
      <c r="D14" s="58">
        <f>('3.2'!D29-'2.1'!D13)</f>
        <v>32.351517407020765</v>
      </c>
      <c r="E14" s="58">
        <f>('3.2'!E29-'2.1'!E13)</f>
        <v>172.84044558882943</v>
      </c>
      <c r="F14" s="58">
        <f>('3.2'!F29-'2.1'!F13)-'3.2'!F$11+('1.1'!W$13/1000)</f>
        <v>297.07539531352381</v>
      </c>
      <c r="G14" s="58">
        <f>('3.2'!G29-'2.1'!G13)-'3.2'!G$11+('1.1'!X$13/1000)</f>
        <v>421.17885701551404</v>
      </c>
      <c r="H14" s="58">
        <f>('3.2'!H29-'2.1'!H13)-'3.2'!H$11+('1.1'!Y$13/1000)</f>
        <v>547.09202840198668</v>
      </c>
      <c r="I14" s="58">
        <f>('3.2'!I29-'2.1'!I13)-'3.2'!I$11+('1.1'!Z$13/1000)</f>
        <v>676.41271001007226</v>
      </c>
      <c r="J14" s="1"/>
      <c r="K14" s="13"/>
      <c r="L14" s="2"/>
      <c r="M14" s="90"/>
      <c r="N14" s="77"/>
      <c r="O14" s="77"/>
      <c r="P14" s="77"/>
      <c r="Q14" s="77"/>
      <c r="R14" s="91"/>
      <c r="S14" s="91"/>
      <c r="T14" s="91"/>
      <c r="U14" s="91"/>
      <c r="V14" s="91"/>
      <c r="W14" s="91"/>
      <c r="X14" s="91"/>
      <c r="Y14" s="91"/>
      <c r="Z14" s="91"/>
      <c r="AA14" s="86"/>
    </row>
    <row r="15" spans="1:27" ht="14.4" customHeight="1" x14ac:dyDescent="0.3">
      <c r="A15" s="18"/>
      <c r="B15" s="19" t="s">
        <v>89</v>
      </c>
      <c r="C15" s="58">
        <f>'3.2'!C29-'2.2'!C13</f>
        <v>-1.4615274176321691E-4</v>
      </c>
      <c r="D15" s="58">
        <f>'3.2'!D29-'2.2'!D13</f>
        <v>8.9959097340970402</v>
      </c>
      <c r="E15" s="58">
        <f>'3.2'!E29-'2.2'!E13</f>
        <v>27.412835613337847</v>
      </c>
      <c r="F15" s="58">
        <f>('3.2'!F29-'2.2'!F13)-'3.2'!F$11+('1.1'!W$13/1000)</f>
        <v>36.006917615010252</v>
      </c>
      <c r="G15" s="58">
        <f>('3.2'!G29-'2.2'!G13)-'3.2'!G$11+('1.1'!X$13/1000)</f>
        <v>98.729158675778308</v>
      </c>
      <c r="H15" s="58">
        <f>('3.2'!H29-'2.2'!H13)-'3.2'!H$11+('1.1'!Y$13/1000)</f>
        <v>141.09444533817441</v>
      </c>
      <c r="I15" s="58">
        <f>('3.2'!I29-'2.2'!I13)-'3.2'!I$11+('1.1'!Z$13/1000)</f>
        <v>168.76166439132248</v>
      </c>
      <c r="J15" s="1"/>
      <c r="K15" s="13"/>
      <c r="L15" s="2"/>
      <c r="M15" s="90"/>
      <c r="N15" s="77"/>
      <c r="O15" s="77"/>
      <c r="P15" s="77"/>
      <c r="Q15" s="77"/>
      <c r="R15" s="91"/>
      <c r="S15" s="91"/>
      <c r="T15" s="91"/>
      <c r="U15" s="91"/>
      <c r="V15" s="91"/>
      <c r="W15" s="91"/>
      <c r="X15" s="91"/>
      <c r="Y15" s="91"/>
      <c r="Z15" s="91"/>
      <c r="AA15" s="86"/>
    </row>
    <row r="16" spans="1:27" ht="14.4" customHeight="1" x14ac:dyDescent="0.3">
      <c r="A16" s="18"/>
      <c r="B16" s="19" t="s">
        <v>90</v>
      </c>
      <c r="C16" s="58">
        <f>'3.2'!C29-'2.3'!C13</f>
        <v>-1.4615274176321691E-4</v>
      </c>
      <c r="D16" s="58">
        <f>'3.2'!D29-'2.3'!D13</f>
        <v>-14.384152120500403</v>
      </c>
      <c r="E16" s="58">
        <f>'3.2'!E29-'2.3'!E13</f>
        <v>-215.10821318309263</v>
      </c>
      <c r="F16" s="58">
        <f>('3.2'!F29-'2.3'!F13)-'3.2'!F$11+('1.1'!W$13/1000)</f>
        <v>-310.02627950711917</v>
      </c>
      <c r="G16" s="58">
        <f>('3.2'!G29-'2.3'!G13)-'3.2'!G$11+('1.1'!X$13/1000)</f>
        <v>-290.94351609685873</v>
      </c>
      <c r="H16" s="58">
        <f>('3.2'!H29-'2.3'!H13)-'3.2'!H$11+('1.1'!Y$13/1000)</f>
        <v>-295.82759889666158</v>
      </c>
      <c r="I16" s="58">
        <f>('3.2'!I29-'2.3'!I13)-'3.2'!I$11+('1.1'!Z$13/1000)</f>
        <v>-323.29171256273207</v>
      </c>
      <c r="J16" s="1"/>
      <c r="K16" s="13"/>
      <c r="L16" s="2"/>
      <c r="M16" s="90" t="s">
        <v>103</v>
      </c>
      <c r="N16" s="91">
        <v>1160929.0477100001</v>
      </c>
      <c r="O16" s="91">
        <v>1173332.8046850001</v>
      </c>
      <c r="P16" s="91">
        <v>1183211.72887</v>
      </c>
      <c r="Q16" s="91">
        <v>1192504.3117879999</v>
      </c>
      <c r="R16" s="91">
        <v>1207018.0551849999</v>
      </c>
      <c r="S16" s="91">
        <v>1215499.6577999999</v>
      </c>
      <c r="T16" s="91">
        <v>1224141.3951950001</v>
      </c>
      <c r="U16" s="91">
        <v>1238219.3057550001</v>
      </c>
      <c r="V16" s="91">
        <v>1244634.4883855185</v>
      </c>
      <c r="W16" s="91">
        <f t="shared" ref="W16:Z17" si="1">V16+(V16*W19)</f>
        <v>1254591.5642926027</v>
      </c>
      <c r="X16" s="91">
        <f t="shared" si="1"/>
        <v>1264628.2968069436</v>
      </c>
      <c r="Y16" s="91">
        <f t="shared" si="1"/>
        <v>1274745.3231813991</v>
      </c>
      <c r="Z16" s="91">
        <f t="shared" si="1"/>
        <v>1284943.2857668502</v>
      </c>
      <c r="AA16" s="86"/>
    </row>
    <row r="17" spans="1:27" ht="14.4" customHeight="1" x14ac:dyDescent="0.3">
      <c r="A17" s="18"/>
      <c r="B17" s="19"/>
      <c r="C17" s="58"/>
      <c r="D17" s="58"/>
      <c r="E17" s="58"/>
      <c r="F17" s="58"/>
      <c r="G17" s="58"/>
      <c r="H17" s="58"/>
      <c r="I17" s="58"/>
      <c r="J17" s="1"/>
      <c r="K17" s="13"/>
      <c r="L17" s="2"/>
      <c r="M17" s="90" t="s">
        <v>104</v>
      </c>
      <c r="N17" s="92">
        <v>1027.01</v>
      </c>
      <c r="O17" s="92">
        <v>1070.531013</v>
      </c>
      <c r="P17" s="92">
        <v>1117.0971460000001</v>
      </c>
      <c r="Q17" s="92">
        <v>1157.8900000000001</v>
      </c>
      <c r="R17" s="92">
        <v>1193.2962</v>
      </c>
      <c r="S17" s="92">
        <v>1253.330197</v>
      </c>
      <c r="T17" s="92">
        <v>1330.4146000000001</v>
      </c>
      <c r="U17" s="92">
        <v>1392.1709000000001</v>
      </c>
      <c r="V17" s="93">
        <v>1441.221753</v>
      </c>
      <c r="W17" s="93">
        <f t="shared" si="1"/>
        <v>1506.0767318850001</v>
      </c>
      <c r="X17" s="93">
        <f t="shared" si="1"/>
        <v>1573.850184819825</v>
      </c>
      <c r="Y17" s="93">
        <f t="shared" si="1"/>
        <v>1644.6734431367172</v>
      </c>
      <c r="Z17" s="93">
        <f t="shared" si="1"/>
        <v>1718.6837480778695</v>
      </c>
      <c r="AA17" s="86"/>
    </row>
    <row r="18" spans="1:27" ht="7.05" customHeight="1" x14ac:dyDescent="0.3">
      <c r="A18" s="18"/>
      <c r="B18" s="57"/>
      <c r="C18" s="56"/>
      <c r="D18" s="56"/>
      <c r="E18" s="56"/>
      <c r="F18" s="56"/>
      <c r="G18" s="56"/>
      <c r="H18" s="56"/>
      <c r="I18" s="56"/>
      <c r="J18" s="1"/>
      <c r="K18" s="13"/>
      <c r="L18" s="2"/>
      <c r="M18" s="90"/>
      <c r="N18" s="77"/>
      <c r="O18" s="77"/>
      <c r="P18" s="77"/>
      <c r="Q18" s="77"/>
      <c r="R18" s="77"/>
      <c r="S18" s="77"/>
      <c r="T18" s="77"/>
      <c r="U18" s="77"/>
      <c r="V18" s="77"/>
      <c r="W18" s="77"/>
      <c r="X18" s="77"/>
      <c r="Y18" s="77"/>
      <c r="Z18" s="77"/>
      <c r="AA18" s="94"/>
    </row>
    <row r="19" spans="1:27" ht="14.4" customHeight="1" x14ac:dyDescent="0.3">
      <c r="A19" s="18"/>
      <c r="B19" s="57" t="s">
        <v>184</v>
      </c>
      <c r="C19" s="56"/>
      <c r="D19" s="56"/>
      <c r="E19" s="56"/>
      <c r="F19" s="56"/>
      <c r="G19" s="56"/>
      <c r="H19" s="56"/>
      <c r="I19" s="56"/>
      <c r="J19" s="1"/>
      <c r="K19" s="13"/>
      <c r="L19" s="2"/>
      <c r="M19" s="90" t="s">
        <v>105</v>
      </c>
      <c r="N19" s="77"/>
      <c r="O19" s="95">
        <f t="shared" ref="O19:V20" si="2">(O16-N16)/N16</f>
        <v>1.0684336824431396E-2</v>
      </c>
      <c r="P19" s="95">
        <f t="shared" si="2"/>
        <v>8.419541451116291E-3</v>
      </c>
      <c r="Q19" s="95">
        <f t="shared" si="2"/>
        <v>7.8536940526059661E-3</v>
      </c>
      <c r="R19" s="95">
        <f t="shared" si="2"/>
        <v>1.2170809995008408E-2</v>
      </c>
      <c r="S19" s="95">
        <f t="shared" si="2"/>
        <v>7.0269061664533297E-3</v>
      </c>
      <c r="T19" s="95">
        <f t="shared" si="2"/>
        <v>7.109617299803553E-3</v>
      </c>
      <c r="U19" s="96">
        <f t="shared" si="2"/>
        <v>1.1500232420256848E-2</v>
      </c>
      <c r="V19" s="96">
        <f t="shared" si="2"/>
        <v>5.1809744854582245E-3</v>
      </c>
      <c r="W19" s="97">
        <v>8.0000000000000002E-3</v>
      </c>
      <c r="X19" s="97">
        <v>8.0000000000000002E-3</v>
      </c>
      <c r="Y19" s="97">
        <v>8.0000000000000002E-3</v>
      </c>
      <c r="Z19" s="97">
        <v>8.0000000000000002E-3</v>
      </c>
      <c r="AA19" s="86" t="s">
        <v>106</v>
      </c>
    </row>
    <row r="20" spans="1:27" ht="14.4" customHeight="1" x14ac:dyDescent="0.3">
      <c r="A20" s="18"/>
      <c r="B20" s="15" t="s">
        <v>88</v>
      </c>
      <c r="C20" s="76">
        <f>('3.3'!C29-'2.1'!C13)</f>
        <v>-1.4615274176321691E-4</v>
      </c>
      <c r="D20" s="76">
        <f>('3.3'!D29-'2.1'!D13)</f>
        <v>32.351517407020765</v>
      </c>
      <c r="E20" s="76">
        <f>('3.3'!E29-'2.1'!E13)</f>
        <v>172.84044558882943</v>
      </c>
      <c r="F20" s="76">
        <f>('3.3'!F29-'2.1'!F13)-'3.3'!F$11+('1.1'!W$13/1000)</f>
        <v>-346.07177564973495</v>
      </c>
      <c r="G20" s="76">
        <f>('3.3'!G29-'2.1'!G13)-'3.3'!G$11+('1.1'!X$13/1000)</f>
        <v>-37.214786183511933</v>
      </c>
      <c r="H20" s="76">
        <f>('3.3'!H29-'2.1'!H13)-'3.3'!H$11+('1.1'!Y$13/1000)</f>
        <v>36.857527150568785</v>
      </c>
      <c r="I20" s="76">
        <f>('3.3'!I29-'2.1'!I13)-'3.3'!I$11+('1.1'!Z$13/1000)</f>
        <v>149.19178940911661</v>
      </c>
      <c r="J20" s="1"/>
      <c r="K20" s="13"/>
      <c r="L20" s="2"/>
      <c r="M20" s="98" t="s">
        <v>107</v>
      </c>
      <c r="N20" s="99"/>
      <c r="O20" s="100">
        <f t="shared" si="2"/>
        <v>4.2376425740742581E-2</v>
      </c>
      <c r="P20" s="100">
        <f t="shared" si="2"/>
        <v>4.3498163467030761E-2</v>
      </c>
      <c r="Q20" s="100">
        <f t="shared" si="2"/>
        <v>3.6516836647615993E-2</v>
      </c>
      <c r="R20" s="100">
        <f t="shared" si="2"/>
        <v>3.0578206910846364E-2</v>
      </c>
      <c r="S20" s="100">
        <f t="shared" si="2"/>
        <v>5.0309384208212515E-2</v>
      </c>
      <c r="T20" s="100">
        <f t="shared" si="2"/>
        <v>6.1503666938298514E-2</v>
      </c>
      <c r="U20" s="100">
        <f t="shared" si="2"/>
        <v>4.6418838157669048E-2</v>
      </c>
      <c r="V20" s="101">
        <v>3.5999999999999997E-2</v>
      </c>
      <c r="W20" s="102">
        <f>I3</f>
        <v>4.4999999999999998E-2</v>
      </c>
      <c r="X20" s="102">
        <f>W20</f>
        <v>4.4999999999999998E-2</v>
      </c>
      <c r="Y20" s="102">
        <f t="shared" ref="Y20:Z20" si="3">X20</f>
        <v>4.4999999999999998E-2</v>
      </c>
      <c r="Z20" s="102">
        <f t="shared" si="3"/>
        <v>4.4999999999999998E-2</v>
      </c>
      <c r="AA20" s="86" t="s">
        <v>108</v>
      </c>
    </row>
    <row r="21" spans="1:27" ht="14.4" customHeight="1" x14ac:dyDescent="0.3">
      <c r="A21" s="18"/>
      <c r="B21" s="15" t="s">
        <v>89</v>
      </c>
      <c r="C21" s="76">
        <f>'3.3'!C29-'2.2'!C13</f>
        <v>-1.4615274176321691E-4</v>
      </c>
      <c r="D21" s="76">
        <f>'3.3'!D29-'2.2'!D13</f>
        <v>8.9959097340970402</v>
      </c>
      <c r="E21" s="76">
        <f>'3.3'!E29-'2.2'!E13</f>
        <v>27.412835613337847</v>
      </c>
      <c r="F21" s="76">
        <f>('3.3'!F29-'2.2'!F13)-'3.3'!F$11+('1.1'!W$13/1000)</f>
        <v>-607.14025334824828</v>
      </c>
      <c r="G21" s="76">
        <f>('3.3'!G29-'2.2'!G13)-'3.3'!G$11+('1.1'!X$13/1000)</f>
        <v>-359.66448452324767</v>
      </c>
      <c r="H21" s="76">
        <f>('3.3'!H29-'2.2'!H13)-'3.3'!H$11+('1.1'!Y$13/1000)</f>
        <v>-369.14005591324349</v>
      </c>
      <c r="I21" s="76">
        <f>('3.3'!I29-'2.2'!I13)-'3.3'!I$11+('1.1'!Z$13/1000)</f>
        <v>-358.45925620963339</v>
      </c>
      <c r="J21" s="1"/>
      <c r="K21" s="13"/>
      <c r="L21" s="2"/>
      <c r="M21" s="98"/>
      <c r="N21" s="99"/>
      <c r="O21" s="99"/>
      <c r="P21" s="99"/>
      <c r="Q21" s="99"/>
      <c r="R21" s="99"/>
      <c r="S21" s="99"/>
      <c r="T21" s="99"/>
      <c r="U21" s="99"/>
      <c r="V21" s="99"/>
      <c r="W21" s="99"/>
      <c r="X21" s="99"/>
      <c r="Y21" s="99"/>
      <c r="Z21" s="99"/>
      <c r="AA21" s="86"/>
    </row>
    <row r="22" spans="1:27" ht="14.4" customHeight="1" x14ac:dyDescent="0.3">
      <c r="A22" s="18"/>
      <c r="B22" s="15" t="s">
        <v>90</v>
      </c>
      <c r="C22" s="76">
        <f>'3.3'!C29-'2.3'!C13</f>
        <v>-1.4615274176321691E-4</v>
      </c>
      <c r="D22" s="76">
        <f>'3.3'!D29-'2.3'!D13</f>
        <v>-14.384152120500403</v>
      </c>
      <c r="E22" s="76">
        <f>'3.3'!E29-'2.3'!E13</f>
        <v>-215.10821318309263</v>
      </c>
      <c r="F22" s="76">
        <f>('3.3'!F29-'2.3'!F13)-'3.3'!F$11+('1.1'!W$13/1000)</f>
        <v>-953.1734504703777</v>
      </c>
      <c r="G22" s="76">
        <f>('3.3'!G29-'2.3'!G13)-'3.3'!G$11+('1.1'!X$13/1000)</f>
        <v>-749.33715929588493</v>
      </c>
      <c r="H22" s="76">
        <f>('3.3'!H29-'2.3'!H13)-'3.3'!H$11+('1.1'!Y$13/1000)</f>
        <v>-806.06210014807948</v>
      </c>
      <c r="I22" s="76">
        <f>('3.3'!I29-'2.3'!I13)-'3.3'!I$11+('1.1'!Z$13/1000)</f>
        <v>-850.51263316368772</v>
      </c>
      <c r="J22" s="1"/>
      <c r="K22" s="13"/>
      <c r="L22" s="2"/>
      <c r="M22" s="103" t="s">
        <v>109</v>
      </c>
      <c r="N22" s="104">
        <f t="shared" ref="N22:Z22" si="4">(N16*N17)/1000</f>
        <v>1192285.7412886473</v>
      </c>
      <c r="O22" s="104">
        <f t="shared" si="4"/>
        <v>1256089.1559855642</v>
      </c>
      <c r="P22" s="104">
        <f t="shared" si="4"/>
        <v>1321762.4454344029</v>
      </c>
      <c r="Q22" s="104">
        <f t="shared" si="4"/>
        <v>1380788.8175762075</v>
      </c>
      <c r="R22" s="104">
        <f t="shared" si="4"/>
        <v>1440330.0585836507</v>
      </c>
      <c r="S22" s="104">
        <f t="shared" si="4"/>
        <v>1523422.4255639063</v>
      </c>
      <c r="T22" s="104">
        <f t="shared" si="4"/>
        <v>1628615.5846317981</v>
      </c>
      <c r="U22" s="104">
        <f t="shared" si="4"/>
        <v>1723812.8852903137</v>
      </c>
      <c r="V22" s="104">
        <f t="shared" si="4"/>
        <v>1793794.2991952354</v>
      </c>
      <c r="W22" s="104">
        <f t="shared" si="4"/>
        <v>1889511.1630002931</v>
      </c>
      <c r="X22" s="104">
        <f t="shared" si="4"/>
        <v>1990335.4786579888</v>
      </c>
      <c r="Y22" s="104">
        <f t="shared" si="4"/>
        <v>2096539.7797991792</v>
      </c>
      <c r="Z22" s="104">
        <f t="shared" si="4"/>
        <v>2208411.142449263</v>
      </c>
      <c r="AA22" s="89"/>
    </row>
    <row r="23" spans="1:27" ht="14.4" customHeight="1" x14ac:dyDescent="0.3">
      <c r="A23" s="18"/>
      <c r="B23" s="15"/>
      <c r="C23" s="76"/>
      <c r="D23" s="76"/>
      <c r="E23" s="76"/>
      <c r="F23" s="76"/>
      <c r="G23" s="76"/>
      <c r="H23" s="76"/>
      <c r="I23" s="76"/>
      <c r="J23" s="1"/>
      <c r="K23" s="13"/>
      <c r="L23" s="2"/>
      <c r="M23" s="98"/>
      <c r="N23" s="99"/>
      <c r="O23" s="99"/>
      <c r="P23" s="99"/>
      <c r="Q23" s="99"/>
      <c r="R23" s="105"/>
      <c r="S23" s="105"/>
      <c r="T23" s="105"/>
      <c r="U23" s="105"/>
      <c r="V23" s="105"/>
      <c r="W23" s="105"/>
      <c r="X23" s="105"/>
      <c r="Y23" s="105"/>
      <c r="Z23" s="105"/>
      <c r="AA23" s="86"/>
    </row>
    <row r="24" spans="1:27" ht="14.4" customHeight="1" x14ac:dyDescent="0.3">
      <c r="A24" s="18"/>
      <c r="B24" s="57" t="s">
        <v>185</v>
      </c>
      <c r="C24" s="56"/>
      <c r="D24" s="56"/>
      <c r="E24" s="56"/>
      <c r="F24" s="56"/>
      <c r="G24" s="56"/>
      <c r="H24" s="56"/>
      <c r="I24" s="56"/>
      <c r="J24" s="1"/>
      <c r="K24" s="13"/>
      <c r="L24" s="2"/>
      <c r="M24" s="98" t="s">
        <v>110</v>
      </c>
      <c r="N24" s="106">
        <v>-244000</v>
      </c>
      <c r="O24" s="106">
        <v>-246885</v>
      </c>
      <c r="P24" s="106">
        <v>-247366</v>
      </c>
      <c r="Q24" s="106">
        <v>-246721</v>
      </c>
      <c r="R24" s="106">
        <v>-247413</v>
      </c>
      <c r="S24" s="106">
        <v>-252096</v>
      </c>
      <c r="T24" s="106">
        <v>-259816</v>
      </c>
      <c r="U24" s="105">
        <f>U49*-1000</f>
        <v>-282805.66236907674</v>
      </c>
      <c r="V24" s="105">
        <f t="shared" ref="V24:Z24" si="5">V49*-1000</f>
        <v>-303248.7682773642</v>
      </c>
      <c r="W24" s="105">
        <f t="shared" si="5"/>
        <v>-316831.59074301668</v>
      </c>
      <c r="X24" s="105">
        <f t="shared" si="5"/>
        <v>-326378.90948629845</v>
      </c>
      <c r="Y24" s="105">
        <f t="shared" si="5"/>
        <v>-339315.10087930161</v>
      </c>
      <c r="Z24" s="105">
        <f t="shared" si="5"/>
        <v>-356740.37676527974</v>
      </c>
      <c r="AA24" s="107"/>
    </row>
    <row r="25" spans="1:27" ht="14.4" customHeight="1" x14ac:dyDescent="0.3">
      <c r="A25" s="18"/>
      <c r="B25" s="15" t="s">
        <v>88</v>
      </c>
      <c r="C25" s="76">
        <f>('3.4'!C29-'2.1'!C13)</f>
        <v>-1.4615274176321691E-4</v>
      </c>
      <c r="D25" s="76">
        <f>('3.4'!D29-'2.1'!D13)</f>
        <v>32.351517407020765</v>
      </c>
      <c r="E25" s="76">
        <f>('3.4'!E29-'2.1'!E13)</f>
        <v>172.84044558882943</v>
      </c>
      <c r="F25" s="76">
        <f>('3.4'!F29-'2.1'!F13)-'3.4'!F$11+('1.1'!W$13/1000)</f>
        <v>62.939137162572706</v>
      </c>
      <c r="G25" s="76">
        <f>('3.4'!G29-'2.1'!G13)-'3.4'!G$11+('1.1'!X$13/1000)</f>
        <v>421.17885701551404</v>
      </c>
      <c r="H25" s="76">
        <f>('3.4'!H29-'2.1'!H13)-'3.4'!H$11+('1.1'!Y$13/1000)</f>
        <v>547.09202840198668</v>
      </c>
      <c r="I25" s="76">
        <f>('3.4'!I29-'2.1'!I13)-'3.4'!I$11+('1.1'!Z$13/1000)</f>
        <v>676.41271001007226</v>
      </c>
      <c r="J25" s="1"/>
      <c r="K25" s="13"/>
      <c r="L25" s="2"/>
      <c r="M25" s="98" t="s">
        <v>111</v>
      </c>
      <c r="N25" s="100">
        <f t="shared" ref="N25:Z25" si="6">N24/N22</f>
        <v>-0.20464892898599937</v>
      </c>
      <c r="O25" s="100">
        <f t="shared" si="6"/>
        <v>-0.1965505384896718</v>
      </c>
      <c r="P25" s="100">
        <f t="shared" si="6"/>
        <v>-0.18714860666108735</v>
      </c>
      <c r="Q25" s="100">
        <f t="shared" si="6"/>
        <v>-0.17868119792068288</v>
      </c>
      <c r="R25" s="100">
        <f t="shared" si="6"/>
        <v>-0.17177521119242189</v>
      </c>
      <c r="S25" s="100">
        <f t="shared" si="6"/>
        <v>-0.16548003742736342</v>
      </c>
      <c r="T25" s="100">
        <f t="shared" si="6"/>
        <v>-0.15953181490568868</v>
      </c>
      <c r="U25" s="100">
        <f t="shared" si="6"/>
        <v>-0.16405821350003913</v>
      </c>
      <c r="V25" s="100">
        <f t="shared" si="6"/>
        <v>-0.16905437173783705</v>
      </c>
      <c r="W25" s="100">
        <f t="shared" si="6"/>
        <v>-0.16767913148495517</v>
      </c>
      <c r="X25" s="100">
        <f t="shared" si="6"/>
        <v>-0.16398185782547772</v>
      </c>
      <c r="Y25" s="100">
        <f t="shared" si="6"/>
        <v>-0.1618452958292084</v>
      </c>
      <c r="Z25" s="100">
        <f t="shared" si="6"/>
        <v>-0.16153712047007371</v>
      </c>
      <c r="AA25" s="107" t="s">
        <v>112</v>
      </c>
    </row>
    <row r="26" spans="1:27" ht="14.4" customHeight="1" x14ac:dyDescent="0.3">
      <c r="A26" s="18"/>
      <c r="B26" s="15" t="s">
        <v>89</v>
      </c>
      <c r="C26" s="76">
        <f>'3.4'!C29-'2.2'!C13</f>
        <v>-1.4615274176321691E-4</v>
      </c>
      <c r="D26" s="76">
        <f>'3.4'!D29-'2.2'!D13</f>
        <v>8.9959097340970402</v>
      </c>
      <c r="E26" s="76">
        <f>'3.4'!E29-'2.2'!E13</f>
        <v>27.412835613337847</v>
      </c>
      <c r="F26" s="76">
        <f>('3.4'!F29-'2.2'!F13)-'3.4'!F$11+('1.1'!W$13/1000)</f>
        <v>-198.12934053594086</v>
      </c>
      <c r="G26" s="76">
        <f>('3.4'!G29-'2.2'!G13)-'3.4'!G$11+('1.1'!X$13/1000)</f>
        <v>98.729158675778308</v>
      </c>
      <c r="H26" s="76">
        <f>('3.4'!H29-'2.2'!H13)-'3.4'!H$11+('1.1'!Y$13/1000)</f>
        <v>141.09444533817441</v>
      </c>
      <c r="I26" s="76">
        <f>('3.4'!I29-'2.2'!I13)-'3.4'!I$11+('1.1'!Z$13/1000)</f>
        <v>168.76166439132248</v>
      </c>
      <c r="J26" s="1"/>
      <c r="K26" s="13"/>
      <c r="L26" s="2"/>
      <c r="M26" s="98"/>
      <c r="N26" s="106"/>
      <c r="O26" s="106"/>
      <c r="P26" s="106"/>
      <c r="Q26" s="106"/>
      <c r="R26" s="106"/>
      <c r="S26" s="106"/>
      <c r="T26" s="106"/>
      <c r="U26" s="108"/>
      <c r="V26" s="108"/>
      <c r="W26" s="108"/>
      <c r="X26" s="108"/>
      <c r="Y26" s="108"/>
      <c r="Z26" s="108"/>
      <c r="AA26" s="107"/>
    </row>
    <row r="27" spans="1:27" ht="14.4" customHeight="1" x14ac:dyDescent="0.3">
      <c r="A27" s="18"/>
      <c r="B27" s="15" t="s">
        <v>90</v>
      </c>
      <c r="C27" s="76">
        <f>'3.4'!C29-'2.3'!C13</f>
        <v>-1.4615274176321691E-4</v>
      </c>
      <c r="D27" s="76">
        <f>'3.4'!D29-'2.3'!D13</f>
        <v>-14.384152120500403</v>
      </c>
      <c r="E27" s="76">
        <f>'3.4'!E29-'2.3'!E13</f>
        <v>-215.10821318309263</v>
      </c>
      <c r="F27" s="76">
        <f>('3.4'!F29-'2.3'!F13)-'3.4'!F$11+('1.1'!W$13/1000)</f>
        <v>-544.16253765807005</v>
      </c>
      <c r="G27" s="76">
        <f>('3.4'!G29-'2.3'!G13)-'3.4'!G$11+('1.1'!X$13/1000)</f>
        <v>-290.94351609685873</v>
      </c>
      <c r="H27" s="76">
        <f>('3.4'!H29-'2.3'!H13)-'3.4'!H$11+('1.1'!Y$13/1000)</f>
        <v>-295.82759889666158</v>
      </c>
      <c r="I27" s="76">
        <f>('3.4'!I29-'2.3'!I13)-'3.4'!I$11+('1.1'!Z$13/1000)</f>
        <v>-323.29171256273207</v>
      </c>
      <c r="J27" s="1"/>
      <c r="K27" s="13"/>
      <c r="L27" s="2"/>
      <c r="M27" s="98" t="s">
        <v>113</v>
      </c>
      <c r="N27" s="100">
        <v>1.0049999999999999</v>
      </c>
      <c r="O27" s="100">
        <v>1.0024</v>
      </c>
      <c r="P27" s="100">
        <v>0.99993330000000002</v>
      </c>
      <c r="Q27" s="100">
        <v>1.0001</v>
      </c>
      <c r="R27" s="100">
        <v>0.99507000000000001</v>
      </c>
      <c r="S27" s="100">
        <v>0.99691999999999992</v>
      </c>
      <c r="T27" s="100">
        <v>0.98099999999999998</v>
      </c>
      <c r="U27" s="102">
        <v>1</v>
      </c>
      <c r="V27" s="102">
        <v>1</v>
      </c>
      <c r="W27" s="102">
        <v>1</v>
      </c>
      <c r="X27" s="102">
        <v>1</v>
      </c>
      <c r="Y27" s="102">
        <v>1</v>
      </c>
      <c r="Z27" s="102">
        <v>1</v>
      </c>
      <c r="AA27" s="107"/>
    </row>
    <row r="28" spans="1:27" ht="7.05" customHeight="1" x14ac:dyDescent="0.3">
      <c r="A28" s="18"/>
      <c r="B28" s="52"/>
      <c r="C28" s="53"/>
      <c r="D28" s="54"/>
      <c r="E28" s="55"/>
      <c r="F28" s="55"/>
      <c r="G28" s="55"/>
      <c r="H28" s="55"/>
      <c r="I28" s="55"/>
      <c r="J28" s="1"/>
      <c r="K28" s="13"/>
      <c r="L28" s="2"/>
      <c r="M28" s="98"/>
      <c r="N28" s="99"/>
      <c r="O28" s="99"/>
      <c r="P28" s="99"/>
      <c r="Q28" s="99"/>
      <c r="R28" s="99"/>
      <c r="S28" s="99"/>
      <c r="T28" s="99"/>
      <c r="U28" s="99"/>
      <c r="V28" s="99"/>
      <c r="W28" s="99"/>
      <c r="X28" s="99"/>
      <c r="Y28" s="99"/>
      <c r="Z28" s="99"/>
      <c r="AA28" s="107"/>
    </row>
    <row r="29" spans="1:27" ht="14.4" customHeight="1" x14ac:dyDescent="0.3">
      <c r="A29" s="18"/>
      <c r="B29" s="50" t="s">
        <v>198</v>
      </c>
      <c r="C29" s="1"/>
      <c r="D29" s="1"/>
      <c r="E29" s="1"/>
      <c r="F29" s="1"/>
      <c r="G29" s="1"/>
      <c r="H29" s="1"/>
      <c r="I29" s="49"/>
      <c r="J29" s="1"/>
      <c r="K29" s="13"/>
      <c r="L29" s="2"/>
      <c r="M29" s="90" t="s">
        <v>114</v>
      </c>
      <c r="N29" s="106">
        <f>(N22+N24)*N27</f>
        <v>953027.16999509046</v>
      </c>
      <c r="O29" s="106">
        <f t="shared" ref="O29:Z29" si="7">(O22+O24)*O27</f>
        <v>1011626.2459599295</v>
      </c>
      <c r="P29" s="106">
        <f t="shared" si="7"/>
        <v>1074324.7831914925</v>
      </c>
      <c r="Q29" s="106">
        <f t="shared" si="7"/>
        <v>1134181.2243579652</v>
      </c>
      <c r="R29" s="106">
        <f t="shared" si="7"/>
        <v>1187035.9774848334</v>
      </c>
      <c r="S29" s="106">
        <f t="shared" si="7"/>
        <v>1267410.7401731694</v>
      </c>
      <c r="T29" s="106">
        <f t="shared" si="7"/>
        <v>1342792.392523794</v>
      </c>
      <c r="U29" s="106">
        <f t="shared" si="7"/>
        <v>1441007.2229212369</v>
      </c>
      <c r="V29" s="106">
        <f t="shared" si="7"/>
        <v>1490545.5309178713</v>
      </c>
      <c r="W29" s="106">
        <f t="shared" si="7"/>
        <v>1572679.5722572764</v>
      </c>
      <c r="X29" s="106">
        <f t="shared" si="7"/>
        <v>1663956.5691716904</v>
      </c>
      <c r="Y29" s="106">
        <f t="shared" si="7"/>
        <v>1757224.6789198776</v>
      </c>
      <c r="Z29" s="106">
        <f t="shared" si="7"/>
        <v>1851670.7656839832</v>
      </c>
      <c r="AA29" s="86"/>
    </row>
    <row r="30" spans="1:27" ht="14.4" customHeight="1" x14ac:dyDescent="0.3">
      <c r="A30" s="18"/>
      <c r="B30" s="50" t="s">
        <v>201</v>
      </c>
      <c r="C30" s="1"/>
      <c r="D30" s="1"/>
      <c r="E30" s="1"/>
      <c r="F30" s="1"/>
      <c r="G30" s="1"/>
      <c r="H30" s="1"/>
      <c r="I30" s="49"/>
      <c r="J30" s="1"/>
      <c r="K30" s="13"/>
      <c r="L30" s="2"/>
      <c r="M30" s="109" t="s">
        <v>115</v>
      </c>
      <c r="N30" s="110">
        <f>N29-N24</f>
        <v>1197027.1699950905</v>
      </c>
      <c r="O30" s="110">
        <f t="shared" ref="O30:Z30" si="8">O29-O24</f>
        <v>1258511.2459599297</v>
      </c>
      <c r="P30" s="110">
        <f t="shared" si="8"/>
        <v>1321690.7831914925</v>
      </c>
      <c r="Q30" s="110">
        <f t="shared" si="8"/>
        <v>1380902.2243579652</v>
      </c>
      <c r="R30" s="110">
        <f t="shared" si="8"/>
        <v>1434448.9774848334</v>
      </c>
      <c r="S30" s="110">
        <f t="shared" si="8"/>
        <v>1519506.7401731694</v>
      </c>
      <c r="T30" s="110">
        <f t="shared" si="8"/>
        <v>1602608.392523794</v>
      </c>
      <c r="U30" s="110">
        <f t="shared" si="8"/>
        <v>1723812.8852903135</v>
      </c>
      <c r="V30" s="110">
        <f t="shared" si="8"/>
        <v>1793794.2991952356</v>
      </c>
      <c r="W30" s="110">
        <f t="shared" si="8"/>
        <v>1889511.1630002931</v>
      </c>
      <c r="X30" s="110">
        <f t="shared" si="8"/>
        <v>1990335.4786579888</v>
      </c>
      <c r="Y30" s="110">
        <f t="shared" si="8"/>
        <v>2096539.7797991792</v>
      </c>
      <c r="Z30" s="110">
        <f t="shared" si="8"/>
        <v>2208411.142449263</v>
      </c>
      <c r="AA30" s="89"/>
    </row>
    <row r="31" spans="1:27" ht="15.6" x14ac:dyDescent="0.3">
      <c r="A31" s="18"/>
      <c r="B31" s="50"/>
      <c r="C31" s="1"/>
      <c r="D31" s="1"/>
      <c r="E31" s="1"/>
      <c r="F31" s="1"/>
      <c r="G31" s="1"/>
      <c r="H31" s="1"/>
      <c r="I31" s="49"/>
      <c r="J31" s="1"/>
      <c r="K31" s="13"/>
      <c r="L31" s="2"/>
      <c r="M31" s="169"/>
      <c r="N31" s="170"/>
      <c r="O31" s="170"/>
      <c r="P31" s="170"/>
      <c r="Q31" s="170"/>
      <c r="R31" s="170"/>
      <c r="S31" s="170"/>
      <c r="T31" s="170"/>
      <c r="U31" s="170"/>
      <c r="V31" s="170"/>
      <c r="W31" s="170"/>
      <c r="X31" s="170"/>
      <c r="Y31" s="170"/>
      <c r="Z31" s="170"/>
      <c r="AA31" s="171"/>
    </row>
    <row r="32" spans="1:27" ht="15.6" x14ac:dyDescent="0.3">
      <c r="A32" s="18"/>
      <c r="B32" s="18"/>
      <c r="C32" s="1"/>
      <c r="D32" s="1"/>
      <c r="E32" s="1"/>
      <c r="F32" s="1"/>
      <c r="G32" s="1"/>
      <c r="H32" s="1"/>
      <c r="I32" s="1"/>
      <c r="J32" s="1"/>
      <c r="K32" s="13"/>
      <c r="L32" s="2"/>
      <c r="M32" s="1"/>
      <c r="N32" s="111"/>
      <c r="O32" s="111"/>
      <c r="P32" s="111"/>
      <c r="Q32" s="111"/>
      <c r="R32" s="111"/>
      <c r="S32" s="111"/>
      <c r="T32" s="111"/>
      <c r="U32" s="111"/>
      <c r="V32" s="111"/>
      <c r="W32" s="112"/>
      <c r="X32" s="112"/>
      <c r="Y32" s="112"/>
      <c r="Z32" s="112"/>
      <c r="AA32" s="1"/>
    </row>
    <row r="33" spans="1:27" ht="15.6" hidden="1" x14ac:dyDescent="0.3">
      <c r="A33" s="18"/>
      <c r="B33" s="18"/>
      <c r="C33" s="1"/>
      <c r="D33" s="1"/>
      <c r="E33" s="1"/>
      <c r="F33" s="1"/>
      <c r="G33" s="1"/>
      <c r="H33" s="1"/>
      <c r="I33" s="1"/>
      <c r="J33" s="1"/>
      <c r="K33" s="13"/>
      <c r="L33" s="2"/>
      <c r="M33" s="1"/>
      <c r="N33" s="113"/>
      <c r="O33" s="113"/>
      <c r="P33" s="113"/>
      <c r="Q33" s="113"/>
      <c r="R33" s="113"/>
      <c r="S33" s="113"/>
      <c r="T33" s="113"/>
      <c r="U33" s="114"/>
      <c r="V33" s="112"/>
      <c r="W33" s="112"/>
      <c r="X33" s="112"/>
      <c r="Y33" s="112"/>
      <c r="Z33" s="112"/>
      <c r="AA33" s="1"/>
    </row>
    <row r="34" spans="1:27" s="2" customFormat="1" ht="20.399999999999999" hidden="1" customHeight="1" x14ac:dyDescent="0.3">
      <c r="K34"/>
      <c r="M34" s="1"/>
      <c r="N34" s="113"/>
      <c r="O34" s="113"/>
      <c r="P34" s="113"/>
      <c r="Q34" s="113"/>
      <c r="R34" s="113"/>
      <c r="S34" s="113"/>
      <c r="T34" s="113"/>
      <c r="U34" s="115"/>
      <c r="V34" s="116"/>
      <c r="W34" s="112"/>
      <c r="X34" s="112"/>
      <c r="Y34" s="112"/>
      <c r="Z34" s="112"/>
      <c r="AA34" s="1"/>
    </row>
    <row r="35" spans="1:27" hidden="1" x14ac:dyDescent="0.3">
      <c r="L35" s="2"/>
      <c r="M35" s="117" t="s">
        <v>116</v>
      </c>
      <c r="N35" s="118"/>
      <c r="O35" s="118"/>
      <c r="P35" s="118"/>
      <c r="Q35" s="118"/>
      <c r="R35" s="119"/>
      <c r="S35" s="119"/>
      <c r="T35" s="119"/>
      <c r="U35" s="120"/>
      <c r="V35" s="120"/>
      <c r="W35" s="120"/>
      <c r="X35" s="121"/>
      <c r="Y35" s="1"/>
      <c r="Z35" s="1"/>
      <c r="AA35" s="1"/>
    </row>
    <row r="36" spans="1:27" hidden="1" x14ac:dyDescent="0.3">
      <c r="L36" s="2"/>
      <c r="M36" s="122"/>
      <c r="N36" s="123"/>
      <c r="O36" s="123"/>
      <c r="P36" s="123"/>
      <c r="Q36" s="123"/>
      <c r="R36" s="124"/>
      <c r="S36" s="124"/>
      <c r="T36" s="124"/>
      <c r="U36" s="125"/>
      <c r="V36" s="125"/>
      <c r="W36" s="125"/>
      <c r="X36" s="126"/>
      <c r="Y36" s="1"/>
      <c r="Z36" s="127"/>
      <c r="AA36" s="127"/>
    </row>
    <row r="37" spans="1:27" hidden="1" x14ac:dyDescent="0.3">
      <c r="L37" s="128"/>
      <c r="M37" s="189" t="s">
        <v>117</v>
      </c>
      <c r="N37" s="190"/>
      <c r="O37" s="190"/>
      <c r="P37" s="190"/>
      <c r="Q37" s="190"/>
      <c r="R37" s="190"/>
      <c r="S37" s="190"/>
      <c r="T37" s="190"/>
      <c r="U37" s="190"/>
      <c r="V37" s="190"/>
      <c r="W37" s="190"/>
      <c r="X37" s="191"/>
      <c r="Y37" s="129"/>
      <c r="Z37" s="130"/>
      <c r="AA37" s="130"/>
    </row>
    <row r="38" spans="1:27" hidden="1" x14ac:dyDescent="0.3">
      <c r="L38" s="128"/>
      <c r="M38" s="189" t="s">
        <v>118</v>
      </c>
      <c r="N38" s="190"/>
      <c r="O38" s="190"/>
      <c r="P38" s="190"/>
      <c r="Q38" s="190"/>
      <c r="R38" s="190"/>
      <c r="S38" s="190"/>
      <c r="T38" s="190"/>
      <c r="U38" s="190"/>
      <c r="V38" s="190"/>
      <c r="W38" s="190"/>
      <c r="X38" s="191"/>
      <c r="Y38" s="129"/>
      <c r="Z38" s="131"/>
      <c r="AA38" s="131"/>
    </row>
    <row r="39" spans="1:27" hidden="1" x14ac:dyDescent="0.3">
      <c r="L39" s="128"/>
      <c r="M39" s="189" t="s">
        <v>119</v>
      </c>
      <c r="N39" s="190"/>
      <c r="O39" s="190"/>
      <c r="P39" s="190"/>
      <c r="Q39" s="190"/>
      <c r="R39" s="190"/>
      <c r="S39" s="190"/>
      <c r="T39" s="190"/>
      <c r="U39" s="190"/>
      <c r="V39" s="190"/>
      <c r="W39" s="190"/>
      <c r="X39" s="191"/>
      <c r="Y39" s="129"/>
      <c r="Z39" s="130"/>
      <c r="AA39" s="131"/>
    </row>
    <row r="40" spans="1:27" hidden="1" x14ac:dyDescent="0.3">
      <c r="L40" s="128"/>
      <c r="M40" s="189" t="s">
        <v>120</v>
      </c>
      <c r="N40" s="190"/>
      <c r="O40" s="190"/>
      <c r="P40" s="190"/>
      <c r="Q40" s="190"/>
      <c r="R40" s="190"/>
      <c r="S40" s="190"/>
      <c r="T40" s="190"/>
      <c r="U40" s="190"/>
      <c r="V40" s="190"/>
      <c r="W40" s="190"/>
      <c r="X40" s="191"/>
      <c r="Y40" s="132"/>
      <c r="Z40" s="133"/>
      <c r="AA40" s="131"/>
    </row>
    <row r="41" spans="1:27" hidden="1" x14ac:dyDescent="0.3">
      <c r="L41" s="128"/>
      <c r="M41" s="181" t="s">
        <v>121</v>
      </c>
      <c r="N41" s="182"/>
      <c r="O41" s="182"/>
      <c r="P41" s="182"/>
      <c r="Q41" s="182"/>
      <c r="R41" s="182"/>
      <c r="S41" s="182"/>
      <c r="T41" s="182"/>
      <c r="U41" s="182"/>
      <c r="V41" s="182"/>
      <c r="W41" s="182"/>
      <c r="X41" s="183"/>
      <c r="Y41" s="129"/>
      <c r="Z41" s="134"/>
      <c r="AA41" s="131"/>
    </row>
    <row r="42" spans="1:27" hidden="1" x14ac:dyDescent="0.3">
      <c r="L42" s="2"/>
      <c r="M42" s="1"/>
      <c r="N42" s="1"/>
      <c r="O42" s="1"/>
      <c r="P42" s="1"/>
      <c r="Q42" s="1"/>
      <c r="R42" s="127"/>
      <c r="S42" s="1"/>
      <c r="T42" s="1"/>
      <c r="U42" s="1"/>
      <c r="V42" s="1"/>
      <c r="W42" s="1"/>
      <c r="X42" s="1"/>
      <c r="Y42" s="1"/>
      <c r="Z42" s="1"/>
      <c r="AA42" s="1"/>
    </row>
    <row r="43" spans="1:27" hidden="1" x14ac:dyDescent="0.3">
      <c r="T43" s="135"/>
    </row>
    <row r="44" spans="1:27" hidden="1" x14ac:dyDescent="0.3">
      <c r="P44" s="136" t="s">
        <v>122</v>
      </c>
      <c r="Q44" s="137"/>
      <c r="R44" s="138"/>
      <c r="S44" s="137"/>
      <c r="T44" s="137"/>
      <c r="U44" s="137"/>
      <c r="V44" s="137"/>
      <c r="W44" s="137"/>
      <c r="X44" s="137"/>
      <c r="Y44" s="137"/>
      <c r="Z44" s="137"/>
      <c r="AA44" s="139"/>
    </row>
    <row r="45" spans="1:27" hidden="1" x14ac:dyDescent="0.3">
      <c r="P45" s="140"/>
      <c r="S45" s="141"/>
      <c r="W45" s="142">
        <f>(W47-V47)/V47</f>
        <v>4.0354826515120956E-2</v>
      </c>
      <c r="X45" s="142">
        <f t="shared" ref="X45:Z45" si="9">(X47-W47)/W47</f>
        <v>1.7959083364548028E-2</v>
      </c>
      <c r="Y45" s="142">
        <f t="shared" si="9"/>
        <v>3.2191264799351596E-2</v>
      </c>
      <c r="Z45" s="142">
        <f t="shared" si="9"/>
        <v>5.0244024996488064E-2</v>
      </c>
      <c r="AA45" s="143"/>
    </row>
    <row r="46" spans="1:27" hidden="1" x14ac:dyDescent="0.3">
      <c r="P46" s="140"/>
      <c r="S46" s="141"/>
      <c r="T46" s="144" t="s">
        <v>10</v>
      </c>
      <c r="U46" s="144" t="s">
        <v>11</v>
      </c>
      <c r="V46" s="144" t="s">
        <v>12</v>
      </c>
      <c r="W46" s="144" t="s">
        <v>13</v>
      </c>
      <c r="X46" s="144" t="s">
        <v>14</v>
      </c>
      <c r="Y46" s="144" t="s">
        <v>15</v>
      </c>
      <c r="Z46" s="144" t="s">
        <v>16</v>
      </c>
      <c r="AA46" s="143"/>
    </row>
    <row r="47" spans="1:27" hidden="1" x14ac:dyDescent="0.3">
      <c r="P47" s="184" t="s">
        <v>123</v>
      </c>
      <c r="Q47" s="185"/>
      <c r="R47" s="185"/>
      <c r="S47" s="185"/>
      <c r="T47" s="145">
        <v>165.9</v>
      </c>
      <c r="U47" s="145">
        <f>((U22*$T$53)/1000)+U54</f>
        <v>183.4</v>
      </c>
      <c r="V47" s="145">
        <f t="shared" ref="V47:Z47" si="10">((V22*$T$53)/1000)+V54</f>
        <v>199.80754679273315</v>
      </c>
      <c r="W47" s="145">
        <f t="shared" si="10"/>
        <v>207.87074567996581</v>
      </c>
      <c r="X47" s="145">
        <f t="shared" si="10"/>
        <v>211.60391373068308</v>
      </c>
      <c r="Y47" s="145">
        <f t="shared" si="10"/>
        <v>218.41571135016665</v>
      </c>
      <c r="Z47" s="145">
        <f t="shared" si="10"/>
        <v>229.38979581087014</v>
      </c>
      <c r="AA47" s="146" t="s">
        <v>124</v>
      </c>
    </row>
    <row r="48" spans="1:27" ht="15" hidden="1" thickBot="1" x14ac:dyDescent="0.35">
      <c r="P48" s="184" t="s">
        <v>125</v>
      </c>
      <c r="Q48" s="185"/>
      <c r="R48" s="185"/>
      <c r="S48" s="185"/>
      <c r="T48" s="147">
        <f>((T24/1000)-(T47*-1))*-1</f>
        <v>93.915999999999968</v>
      </c>
      <c r="U48" s="147">
        <f>(U22*$T$52)/1000</f>
        <v>99.405662369076751</v>
      </c>
      <c r="V48" s="147">
        <f t="shared" ref="V48:Z48" si="11">(V22*$T$52)/1000</f>
        <v>103.44122148463103</v>
      </c>
      <c r="W48" s="147">
        <f t="shared" si="11"/>
        <v>108.96084506305093</v>
      </c>
      <c r="X48" s="147">
        <f t="shared" si="11"/>
        <v>114.77499575561534</v>
      </c>
      <c r="Y48" s="147">
        <f t="shared" si="11"/>
        <v>120.89938952913498</v>
      </c>
      <c r="Z48" s="147">
        <f t="shared" si="11"/>
        <v>127.35058095440959</v>
      </c>
      <c r="AA48" s="146" t="s">
        <v>126</v>
      </c>
    </row>
    <row r="49" spans="16:27" ht="15" hidden="1" thickTop="1" x14ac:dyDescent="0.3">
      <c r="P49" s="140"/>
      <c r="S49" s="148" t="s">
        <v>30</v>
      </c>
      <c r="T49" s="149">
        <f>SUM(T47:T48)</f>
        <v>259.81599999999997</v>
      </c>
      <c r="U49" s="149">
        <f>SUM(U47:U48)</f>
        <v>282.80566236907674</v>
      </c>
      <c r="V49" s="149">
        <f t="shared" ref="V49:Z49" si="12">SUM(V47:V48)</f>
        <v>303.24876827736421</v>
      </c>
      <c r="W49" s="149">
        <f t="shared" si="12"/>
        <v>316.8315907430167</v>
      </c>
      <c r="X49" s="149">
        <f t="shared" si="12"/>
        <v>326.37890948629843</v>
      </c>
      <c r="Y49" s="149">
        <f t="shared" si="12"/>
        <v>339.31510087930161</v>
      </c>
      <c r="Z49" s="149">
        <f t="shared" si="12"/>
        <v>356.74037676527973</v>
      </c>
      <c r="AA49" s="143"/>
    </row>
    <row r="50" spans="16:27" hidden="1" x14ac:dyDescent="0.3">
      <c r="P50" s="140"/>
      <c r="S50" s="150" t="s">
        <v>127</v>
      </c>
      <c r="T50" s="151">
        <f>AVERAGE(Q77:Q80)/100</f>
        <v>3.875E-2</v>
      </c>
      <c r="U50" s="151">
        <f>AVERAGE(Q81:Q82,W83:W84)/100</f>
        <v>4.8000000000000001E-2</v>
      </c>
      <c r="V50" s="151">
        <f>AVERAGE(W85:W88)/100</f>
        <v>5.9000000000000004E-2</v>
      </c>
      <c r="W50" s="151">
        <f>AVERAGE(W89:W92)/100</f>
        <v>5.6999999999999995E-2</v>
      </c>
      <c r="X50" s="151">
        <f>AVERAGE(W93:W96)/100</f>
        <v>4.9249999999999995E-2</v>
      </c>
      <c r="Y50" s="151">
        <f>AVERAGE(W97:W100)/100</f>
        <v>4.4500000000000005E-2</v>
      </c>
      <c r="Z50" s="151">
        <f>AVERAGE(W101:W104)/100</f>
        <v>4.4000000000000004E-2</v>
      </c>
      <c r="AA50" s="143"/>
    </row>
    <row r="51" spans="16:27" hidden="1" x14ac:dyDescent="0.3">
      <c r="P51" s="140"/>
      <c r="AA51" s="143"/>
    </row>
    <row r="52" spans="16:27" hidden="1" x14ac:dyDescent="0.3">
      <c r="P52" s="152"/>
      <c r="S52" s="153" t="s">
        <v>128</v>
      </c>
      <c r="T52" s="154">
        <f>(T48*1000)/T22</f>
        <v>5.7666155774404405E-2</v>
      </c>
      <c r="U52" s="155">
        <f>(U22*$T$53)/1000</f>
        <v>175.59733577909873</v>
      </c>
      <c r="V52" s="155"/>
      <c r="W52" s="156"/>
      <c r="X52" s="156"/>
      <c r="Y52" s="157"/>
      <c r="Z52" s="142"/>
      <c r="AA52" s="143"/>
    </row>
    <row r="53" spans="16:27" hidden="1" x14ac:dyDescent="0.3">
      <c r="P53" s="140"/>
      <c r="S53" s="153" t="s">
        <v>129</v>
      </c>
      <c r="T53" s="154">
        <f>(T47*1000)/T22</f>
        <v>0.10186565913128427</v>
      </c>
      <c r="U53">
        <v>183.4</v>
      </c>
      <c r="W53" s="145"/>
      <c r="AA53" s="143"/>
    </row>
    <row r="54" spans="16:27" hidden="1" x14ac:dyDescent="0.3">
      <c r="T54">
        <v>0</v>
      </c>
      <c r="U54" s="158">
        <f>U53-U52</f>
        <v>7.8026642209012778</v>
      </c>
      <c r="V54" s="158">
        <f>FORECAST(V50,$T$54:$U$54,$T$50:$U$50)</f>
        <v>17.081508159270371</v>
      </c>
      <c r="W54" s="158">
        <f t="shared" ref="W54:Z54" si="13">FORECAST(W50,$T$54:$U$54,$T$50:$U$50)</f>
        <v>15.39444562502144</v>
      </c>
      <c r="X54" s="158">
        <f t="shared" si="13"/>
        <v>8.8570783048068549</v>
      </c>
      <c r="Y54" s="158">
        <f t="shared" si="13"/>
        <v>4.8503047859656689</v>
      </c>
      <c r="Z54" s="158">
        <f t="shared" si="13"/>
        <v>4.4285391524034381</v>
      </c>
      <c r="AA54" s="143"/>
    </row>
    <row r="55" spans="16:27" hidden="1" x14ac:dyDescent="0.3">
      <c r="P55" s="159" t="s">
        <v>130</v>
      </c>
      <c r="Q55" s="160"/>
      <c r="R55" s="160"/>
      <c r="S55" s="160"/>
      <c r="T55" s="160"/>
      <c r="U55" s="160"/>
      <c r="V55" s="160"/>
      <c r="W55" s="160"/>
      <c r="X55" s="160"/>
      <c r="Y55" s="160"/>
      <c r="Z55" s="160"/>
      <c r="AA55" s="161"/>
    </row>
    <row r="56" spans="16:27" hidden="1" x14ac:dyDescent="0.3">
      <c r="S56" s="162"/>
    </row>
    <row r="58" spans="16:27" hidden="1" x14ac:dyDescent="0.3">
      <c r="P58" s="163" t="s">
        <v>131</v>
      </c>
    </row>
    <row r="59" spans="16:27" hidden="1" x14ac:dyDescent="0.3">
      <c r="Q59" t="s">
        <v>92</v>
      </c>
      <c r="R59" t="s">
        <v>132</v>
      </c>
      <c r="S59" t="s">
        <v>133</v>
      </c>
      <c r="T59" t="s">
        <v>134</v>
      </c>
      <c r="U59" t="s">
        <v>135</v>
      </c>
      <c r="V59" t="s">
        <v>136</v>
      </c>
      <c r="W59" t="s">
        <v>137</v>
      </c>
    </row>
    <row r="60" spans="16:27" hidden="1" x14ac:dyDescent="0.3">
      <c r="P60" t="s">
        <v>138</v>
      </c>
      <c r="Q60">
        <v>5.5</v>
      </c>
      <c r="S60">
        <v>5.5</v>
      </c>
      <c r="T60">
        <v>5.5</v>
      </c>
    </row>
    <row r="61" spans="16:27" hidden="1" x14ac:dyDescent="0.3">
      <c r="P61" t="s">
        <v>139</v>
      </c>
      <c r="Q61">
        <v>5.6</v>
      </c>
      <c r="S61">
        <v>5.6</v>
      </c>
      <c r="T61">
        <v>5.6</v>
      </c>
    </row>
    <row r="62" spans="16:27" hidden="1" x14ac:dyDescent="0.3">
      <c r="P62" t="s">
        <v>140</v>
      </c>
      <c r="Q62">
        <v>5.3</v>
      </c>
      <c r="S62">
        <v>5.3</v>
      </c>
      <c r="T62">
        <v>5.3</v>
      </c>
    </row>
    <row r="63" spans="16:27" hidden="1" x14ac:dyDescent="0.3">
      <c r="P63" t="s">
        <v>141</v>
      </c>
      <c r="Q63">
        <v>5.0999999999999996</v>
      </c>
      <c r="S63">
        <v>5.0999999999999996</v>
      </c>
      <c r="T63">
        <v>5.0999999999999996</v>
      </c>
    </row>
    <row r="64" spans="16:27" hidden="1" x14ac:dyDescent="0.3">
      <c r="P64" t="s">
        <v>142</v>
      </c>
      <c r="Q64">
        <v>5.0999999999999996</v>
      </c>
      <c r="S64">
        <v>5.0999999999999996</v>
      </c>
      <c r="T64">
        <v>5.0999999999999996</v>
      </c>
    </row>
    <row r="65" spans="16:20" hidden="1" x14ac:dyDescent="0.3">
      <c r="P65" t="s">
        <v>143</v>
      </c>
      <c r="Q65">
        <v>4.9000000000000004</v>
      </c>
      <c r="S65">
        <v>4.9000000000000004</v>
      </c>
      <c r="T65">
        <v>4.9000000000000004</v>
      </c>
    </row>
    <row r="66" spans="16:20" hidden="1" x14ac:dyDescent="0.3">
      <c r="P66" t="s">
        <v>144</v>
      </c>
      <c r="Q66">
        <v>4.8</v>
      </c>
      <c r="S66">
        <v>4.8</v>
      </c>
      <c r="T66">
        <v>4.8</v>
      </c>
    </row>
    <row r="67" spans="16:20" hidden="1" x14ac:dyDescent="0.3">
      <c r="P67" t="s">
        <v>145</v>
      </c>
      <c r="Q67">
        <v>4.7</v>
      </c>
      <c r="S67">
        <v>4.7</v>
      </c>
      <c r="T67">
        <v>4.7</v>
      </c>
    </row>
    <row r="68" spans="16:20" hidden="1" x14ac:dyDescent="0.3">
      <c r="P68" t="s">
        <v>146</v>
      </c>
      <c r="Q68">
        <v>4.5999999999999996</v>
      </c>
      <c r="S68">
        <v>4.5999999999999996</v>
      </c>
      <c r="T68">
        <v>4.5999999999999996</v>
      </c>
    </row>
    <row r="69" spans="16:20" hidden="1" x14ac:dyDescent="0.3">
      <c r="P69" t="s">
        <v>147</v>
      </c>
      <c r="Q69">
        <v>4.4000000000000004</v>
      </c>
      <c r="S69">
        <v>4.4000000000000004</v>
      </c>
      <c r="T69">
        <v>4.4000000000000004</v>
      </c>
    </row>
    <row r="70" spans="16:20" hidden="1" x14ac:dyDescent="0.3">
      <c r="P70" t="s">
        <v>148</v>
      </c>
      <c r="Q70">
        <v>4.3</v>
      </c>
      <c r="S70">
        <v>4.3</v>
      </c>
      <c r="T70">
        <v>4.3</v>
      </c>
    </row>
    <row r="71" spans="16:20" hidden="1" x14ac:dyDescent="0.3">
      <c r="P71" t="s">
        <v>149</v>
      </c>
      <c r="Q71">
        <v>4.4000000000000004</v>
      </c>
      <c r="S71">
        <v>4.4000000000000004</v>
      </c>
      <c r="T71">
        <v>4.4000000000000004</v>
      </c>
    </row>
    <row r="72" spans="16:20" hidden="1" x14ac:dyDescent="0.3">
      <c r="P72" t="s">
        <v>150</v>
      </c>
      <c r="Q72">
        <v>4.2</v>
      </c>
      <c r="S72">
        <v>4.2</v>
      </c>
      <c r="T72">
        <v>4.2</v>
      </c>
    </row>
    <row r="73" spans="16:20" hidden="1" x14ac:dyDescent="0.3">
      <c r="P73" t="s">
        <v>151</v>
      </c>
      <c r="Q73">
        <v>4</v>
      </c>
      <c r="S73">
        <v>4</v>
      </c>
      <c r="T73">
        <v>4</v>
      </c>
    </row>
    <row r="74" spans="16:20" hidden="1" x14ac:dyDescent="0.3">
      <c r="P74" t="s">
        <v>152</v>
      </c>
      <c r="Q74">
        <v>4.0999999999999996</v>
      </c>
      <c r="S74">
        <v>4.0999999999999996</v>
      </c>
      <c r="T74">
        <v>4.0999999999999996</v>
      </c>
    </row>
    <row r="75" spans="16:20" hidden="1" x14ac:dyDescent="0.3">
      <c r="P75" t="s">
        <v>153</v>
      </c>
      <c r="Q75">
        <v>4</v>
      </c>
      <c r="S75">
        <v>4</v>
      </c>
      <c r="T75">
        <v>4</v>
      </c>
    </row>
    <row r="76" spans="16:20" hidden="1" x14ac:dyDescent="0.3">
      <c r="P76" t="s">
        <v>154</v>
      </c>
      <c r="Q76">
        <v>3.8</v>
      </c>
      <c r="S76">
        <v>3.8</v>
      </c>
      <c r="T76">
        <v>3.8</v>
      </c>
    </row>
    <row r="77" spans="16:20" hidden="1" x14ac:dyDescent="0.3">
      <c r="P77" t="s">
        <v>155</v>
      </c>
      <c r="Q77">
        <v>3.9</v>
      </c>
      <c r="S77">
        <v>3.9</v>
      </c>
      <c r="T77">
        <v>3.9</v>
      </c>
    </row>
    <row r="78" spans="16:20" hidden="1" x14ac:dyDescent="0.3">
      <c r="P78" t="s">
        <v>156</v>
      </c>
      <c r="Q78">
        <v>3.8</v>
      </c>
      <c r="S78">
        <v>3.8</v>
      </c>
      <c r="T78">
        <v>3.8</v>
      </c>
    </row>
    <row r="79" spans="16:20" hidden="1" x14ac:dyDescent="0.3">
      <c r="P79" t="s">
        <v>157</v>
      </c>
      <c r="Q79">
        <v>3.8</v>
      </c>
      <c r="R79">
        <v>3.8</v>
      </c>
      <c r="S79">
        <v>3.8</v>
      </c>
      <c r="T79">
        <v>3.8</v>
      </c>
    </row>
    <row r="80" spans="16:20" hidden="1" x14ac:dyDescent="0.3">
      <c r="P80" t="s">
        <v>158</v>
      </c>
      <c r="Q80">
        <v>4</v>
      </c>
      <c r="R80">
        <v>3.8</v>
      </c>
      <c r="S80">
        <v>4</v>
      </c>
      <c r="T80">
        <v>4</v>
      </c>
    </row>
    <row r="81" spans="16:23" hidden="1" x14ac:dyDescent="0.3">
      <c r="P81" t="s">
        <v>159</v>
      </c>
      <c r="Q81">
        <v>4.0999999999999996</v>
      </c>
      <c r="R81">
        <v>3.8</v>
      </c>
      <c r="S81">
        <v>4.0999999999999996</v>
      </c>
      <c r="T81">
        <v>4.0999999999999996</v>
      </c>
    </row>
    <row r="82" spans="16:23" hidden="1" x14ac:dyDescent="0.3">
      <c r="P82" t="s">
        <v>160</v>
      </c>
      <c r="Q82">
        <v>4.8</v>
      </c>
      <c r="R82">
        <v>3.9</v>
      </c>
      <c r="S82">
        <v>4.8</v>
      </c>
      <c r="T82">
        <v>4.8</v>
      </c>
      <c r="U82">
        <v>4.8</v>
      </c>
      <c r="W82">
        <v>4.8</v>
      </c>
    </row>
    <row r="83" spans="16:23" hidden="1" x14ac:dyDescent="0.3">
      <c r="P83" t="s">
        <v>161</v>
      </c>
      <c r="R83">
        <v>3.9</v>
      </c>
      <c r="S83">
        <v>5.0999999999999996</v>
      </c>
      <c r="T83">
        <v>4.8</v>
      </c>
      <c r="U83">
        <v>4.8</v>
      </c>
      <c r="V83">
        <v>0.4</v>
      </c>
      <c r="W83">
        <v>5.0999999999999996</v>
      </c>
    </row>
    <row r="84" spans="16:23" hidden="1" x14ac:dyDescent="0.3">
      <c r="P84" t="s">
        <v>162</v>
      </c>
      <c r="R84">
        <v>3.8</v>
      </c>
      <c r="S84">
        <v>5.7</v>
      </c>
      <c r="T84">
        <v>4.8</v>
      </c>
      <c r="U84">
        <v>5.0999999999999996</v>
      </c>
      <c r="V84">
        <v>1</v>
      </c>
      <c r="W84">
        <v>5.2</v>
      </c>
    </row>
    <row r="85" spans="16:23" hidden="1" x14ac:dyDescent="0.3">
      <c r="P85" t="s">
        <v>163</v>
      </c>
      <c r="R85">
        <v>3.8</v>
      </c>
      <c r="S85">
        <v>8.6999999999999993</v>
      </c>
      <c r="T85">
        <v>5.0999999999999996</v>
      </c>
      <c r="U85">
        <v>7.5</v>
      </c>
      <c r="V85">
        <v>3.7</v>
      </c>
      <c r="W85">
        <v>5.2</v>
      </c>
    </row>
    <row r="86" spans="16:23" hidden="1" x14ac:dyDescent="0.3">
      <c r="P86" t="s">
        <v>164</v>
      </c>
      <c r="R86">
        <v>3.8</v>
      </c>
      <c r="S86">
        <v>9.3000000000000007</v>
      </c>
      <c r="T86">
        <v>4.7</v>
      </c>
      <c r="U86">
        <v>7.4</v>
      </c>
      <c r="V86">
        <v>4.5999999999999996</v>
      </c>
      <c r="W86">
        <v>5.6</v>
      </c>
    </row>
    <row r="87" spans="16:23" hidden="1" x14ac:dyDescent="0.3">
      <c r="P87" t="s">
        <v>165</v>
      </c>
      <c r="R87">
        <v>3.9</v>
      </c>
      <c r="S87">
        <v>10</v>
      </c>
      <c r="T87">
        <v>4.2</v>
      </c>
      <c r="U87">
        <v>7.2</v>
      </c>
      <c r="V87">
        <v>5.8</v>
      </c>
      <c r="W87">
        <v>6.5</v>
      </c>
    </row>
    <row r="88" spans="16:23" hidden="1" x14ac:dyDescent="0.3">
      <c r="P88" t="s">
        <v>166</v>
      </c>
      <c r="R88">
        <v>3.9</v>
      </c>
      <c r="S88">
        <v>11</v>
      </c>
      <c r="T88">
        <v>3.9</v>
      </c>
      <c r="U88">
        <v>7</v>
      </c>
      <c r="V88">
        <v>7.1</v>
      </c>
      <c r="W88">
        <v>6.3</v>
      </c>
    </row>
    <row r="89" spans="16:23" hidden="1" x14ac:dyDescent="0.3">
      <c r="P89" t="s">
        <v>167</v>
      </c>
      <c r="R89">
        <v>3.9</v>
      </c>
      <c r="S89">
        <v>10.9</v>
      </c>
      <c r="T89">
        <v>3.9</v>
      </c>
      <c r="U89">
        <v>6.7</v>
      </c>
      <c r="V89">
        <v>7</v>
      </c>
      <c r="W89">
        <v>6</v>
      </c>
    </row>
    <row r="90" spans="16:23" hidden="1" x14ac:dyDescent="0.3">
      <c r="P90" t="s">
        <v>168</v>
      </c>
      <c r="R90">
        <v>3.9</v>
      </c>
      <c r="S90">
        <v>10</v>
      </c>
      <c r="T90">
        <v>3.9</v>
      </c>
      <c r="U90">
        <v>6.3</v>
      </c>
      <c r="V90">
        <v>6.1</v>
      </c>
      <c r="W90">
        <v>5.8</v>
      </c>
    </row>
    <row r="91" spans="16:23" hidden="1" x14ac:dyDescent="0.3">
      <c r="P91" t="s">
        <v>169</v>
      </c>
      <c r="R91">
        <v>3.9</v>
      </c>
      <c r="S91">
        <v>9.6999999999999993</v>
      </c>
      <c r="T91">
        <v>3.9</v>
      </c>
      <c r="U91">
        <v>6.1</v>
      </c>
      <c r="V91">
        <v>5.7</v>
      </c>
      <c r="W91">
        <v>5.6</v>
      </c>
    </row>
    <row r="92" spans="16:23" hidden="1" x14ac:dyDescent="0.3">
      <c r="P92" t="s">
        <v>170</v>
      </c>
      <c r="R92">
        <v>4</v>
      </c>
      <c r="S92">
        <v>9</v>
      </c>
      <c r="T92">
        <v>4</v>
      </c>
      <c r="U92">
        <v>5.8</v>
      </c>
      <c r="V92">
        <v>5</v>
      </c>
      <c r="W92">
        <v>5.4</v>
      </c>
    </row>
    <row r="93" spans="16:23" hidden="1" x14ac:dyDescent="0.3">
      <c r="P93" t="s">
        <v>171</v>
      </c>
      <c r="R93">
        <v>4</v>
      </c>
      <c r="S93">
        <v>8.3000000000000007</v>
      </c>
      <c r="T93">
        <v>4</v>
      </c>
      <c r="U93">
        <v>5.5</v>
      </c>
      <c r="V93">
        <v>4.3</v>
      </c>
      <c r="W93">
        <v>5.2</v>
      </c>
    </row>
    <row r="94" spans="16:23" hidden="1" x14ac:dyDescent="0.3">
      <c r="P94" t="s">
        <v>172</v>
      </c>
      <c r="R94">
        <v>4</v>
      </c>
      <c r="S94">
        <v>7.6</v>
      </c>
      <c r="T94">
        <v>4</v>
      </c>
      <c r="U94">
        <v>5.3</v>
      </c>
      <c r="V94">
        <v>3.5</v>
      </c>
      <c r="W94">
        <v>5</v>
      </c>
    </row>
    <row r="95" spans="16:23" hidden="1" x14ac:dyDescent="0.3">
      <c r="P95" t="s">
        <v>173</v>
      </c>
      <c r="R95">
        <v>4.0999999999999996</v>
      </c>
      <c r="S95">
        <v>6.9</v>
      </c>
      <c r="T95">
        <v>4.0999999999999996</v>
      </c>
      <c r="U95">
        <v>5</v>
      </c>
      <c r="V95">
        <v>2.8</v>
      </c>
      <c r="W95">
        <v>4.8</v>
      </c>
    </row>
    <row r="96" spans="16:23" hidden="1" x14ac:dyDescent="0.3">
      <c r="P96" t="s">
        <v>174</v>
      </c>
      <c r="R96">
        <v>4.0999999999999996</v>
      </c>
      <c r="S96">
        <v>6.1</v>
      </c>
      <c r="T96">
        <v>4.0999999999999996</v>
      </c>
      <c r="U96">
        <v>4.7</v>
      </c>
      <c r="V96">
        <v>2</v>
      </c>
      <c r="W96">
        <v>4.7</v>
      </c>
    </row>
    <row r="97" spans="16:26" hidden="1" x14ac:dyDescent="0.3">
      <c r="P97" t="s">
        <v>175</v>
      </c>
      <c r="R97">
        <v>4.0999999999999996</v>
      </c>
      <c r="S97">
        <v>5.8</v>
      </c>
      <c r="T97">
        <v>4.0999999999999996</v>
      </c>
      <c r="U97">
        <v>4.5999999999999996</v>
      </c>
      <c r="V97">
        <v>1.6</v>
      </c>
      <c r="W97">
        <v>4.5</v>
      </c>
    </row>
    <row r="98" spans="16:26" hidden="1" x14ac:dyDescent="0.3">
      <c r="P98" t="s">
        <v>176</v>
      </c>
      <c r="R98">
        <v>4.0999999999999996</v>
      </c>
      <c r="S98">
        <v>5.5</v>
      </c>
      <c r="T98">
        <v>4.0999999999999996</v>
      </c>
      <c r="U98">
        <v>4.5</v>
      </c>
      <c r="V98">
        <v>1.3</v>
      </c>
      <c r="W98">
        <v>4.5</v>
      </c>
    </row>
    <row r="99" spans="16:26" hidden="1" x14ac:dyDescent="0.3">
      <c r="P99" t="s">
        <v>177</v>
      </c>
      <c r="R99">
        <v>4.0999999999999996</v>
      </c>
      <c r="S99">
        <v>5.3</v>
      </c>
      <c r="T99">
        <v>4.0999999999999996</v>
      </c>
      <c r="U99">
        <v>4.4000000000000004</v>
      </c>
      <c r="V99">
        <v>1.1000000000000001</v>
      </c>
      <c r="W99">
        <v>4.4000000000000004</v>
      </c>
    </row>
    <row r="100" spans="16:26" hidden="1" x14ac:dyDescent="0.3">
      <c r="P100" t="s">
        <v>178</v>
      </c>
      <c r="R100">
        <v>4.0999999999999996</v>
      </c>
      <c r="S100">
        <v>5.2</v>
      </c>
      <c r="T100">
        <v>4.0999999999999996</v>
      </c>
      <c r="U100">
        <v>4.4000000000000004</v>
      </c>
      <c r="V100">
        <v>1.1000000000000001</v>
      </c>
      <c r="W100">
        <v>4.4000000000000004</v>
      </c>
    </row>
    <row r="101" spans="16:26" hidden="1" x14ac:dyDescent="0.3">
      <c r="P101" t="s">
        <v>179</v>
      </c>
      <c r="S101">
        <v>5.2</v>
      </c>
      <c r="T101">
        <v>4.0999999999999996</v>
      </c>
      <c r="U101">
        <v>4.4000000000000004</v>
      </c>
      <c r="V101">
        <v>1.1000000000000001</v>
      </c>
      <c r="W101">
        <v>4.4000000000000004</v>
      </c>
    </row>
    <row r="102" spans="16:26" hidden="1" x14ac:dyDescent="0.3">
      <c r="P102" t="s">
        <v>180</v>
      </c>
      <c r="S102">
        <v>5.2</v>
      </c>
      <c r="T102">
        <v>4.0999999999999996</v>
      </c>
      <c r="U102">
        <v>4.4000000000000004</v>
      </c>
      <c r="V102">
        <v>1.1000000000000001</v>
      </c>
      <c r="W102">
        <v>4.4000000000000004</v>
      </c>
    </row>
    <row r="103" spans="16:26" hidden="1" x14ac:dyDescent="0.3">
      <c r="P103" t="s">
        <v>181</v>
      </c>
      <c r="S103">
        <v>5.2</v>
      </c>
      <c r="T103">
        <v>4.0999999999999996</v>
      </c>
      <c r="U103">
        <v>4.4000000000000004</v>
      </c>
      <c r="V103">
        <v>1.1000000000000001</v>
      </c>
      <c r="W103">
        <v>4.4000000000000004</v>
      </c>
    </row>
    <row r="104" spans="16:26" hidden="1" x14ac:dyDescent="0.3">
      <c r="P104" t="s">
        <v>182</v>
      </c>
      <c r="S104">
        <v>5.2</v>
      </c>
      <c r="T104">
        <v>4.0999999999999996</v>
      </c>
      <c r="U104">
        <v>4.4000000000000004</v>
      </c>
      <c r="V104">
        <v>1.1000000000000001</v>
      </c>
      <c r="W104">
        <v>4.4000000000000004</v>
      </c>
    </row>
    <row r="109" spans="16:26" hidden="1" x14ac:dyDescent="0.3">
      <c r="T109" s="164">
        <f>T22</f>
        <v>1628615.5846317981</v>
      </c>
      <c r="U109" s="164">
        <f t="shared" ref="U109:Z109" si="14">U22</f>
        <v>1723812.8852903137</v>
      </c>
      <c r="V109" s="164">
        <f t="shared" si="14"/>
        <v>1793794.2991952354</v>
      </c>
      <c r="W109" s="164">
        <f t="shared" si="14"/>
        <v>1889511.1630002931</v>
      </c>
      <c r="X109" s="164">
        <f t="shared" si="14"/>
        <v>1990335.4786579888</v>
      </c>
      <c r="Y109" s="164">
        <f t="shared" si="14"/>
        <v>2096539.7797991792</v>
      </c>
      <c r="Z109" s="164">
        <f t="shared" si="14"/>
        <v>2208411.142449263</v>
      </c>
    </row>
    <row r="110" spans="16:26" hidden="1" x14ac:dyDescent="0.3">
      <c r="T110" s="165">
        <f>T24</f>
        <v>-259816</v>
      </c>
      <c r="U110" s="165">
        <f t="shared" ref="U110:Z110" si="15">U24</f>
        <v>-282805.66236907674</v>
      </c>
      <c r="V110" s="165">
        <f t="shared" si="15"/>
        <v>-303248.7682773642</v>
      </c>
      <c r="W110" s="165">
        <f t="shared" si="15"/>
        <v>-316831.59074301668</v>
      </c>
      <c r="X110" s="165">
        <f t="shared" si="15"/>
        <v>-326378.90948629845</v>
      </c>
      <c r="Y110" s="165">
        <f t="shared" si="15"/>
        <v>-339315.10087930161</v>
      </c>
      <c r="Z110" s="165">
        <f t="shared" si="15"/>
        <v>-356740.37676527974</v>
      </c>
    </row>
    <row r="111" spans="16:26" hidden="1" x14ac:dyDescent="0.3">
      <c r="T111" s="166">
        <f>T13</f>
        <v>1342792.392523794</v>
      </c>
      <c r="U111" s="166">
        <f t="shared" ref="U111:Z111" si="16">U13</f>
        <v>1441007.2229212369</v>
      </c>
      <c r="V111" s="166">
        <f t="shared" si="16"/>
        <v>1490545.5309178713</v>
      </c>
      <c r="W111" s="166">
        <f t="shared" si="16"/>
        <v>1572679.5722572764</v>
      </c>
      <c r="X111" s="166">
        <f t="shared" si="16"/>
        <v>1663956.5691716904</v>
      </c>
      <c r="Y111" s="166">
        <f t="shared" si="16"/>
        <v>1757224.6789198776</v>
      </c>
      <c r="Z111" s="166">
        <f t="shared" si="16"/>
        <v>1851670.7656839832</v>
      </c>
    </row>
    <row r="112" spans="16:26" hidden="1" x14ac:dyDescent="0.3">
      <c r="T112" s="164">
        <f>T13</f>
        <v>1342792.392523794</v>
      </c>
      <c r="U112" s="164">
        <f t="shared" ref="U112:Z112" si="17">U13</f>
        <v>1441007.2229212369</v>
      </c>
      <c r="V112" s="164">
        <f t="shared" si="17"/>
        <v>1490545.5309178713</v>
      </c>
      <c r="W112" s="164">
        <f t="shared" si="17"/>
        <v>1572679.5722572764</v>
      </c>
      <c r="X112" s="164">
        <f t="shared" si="17"/>
        <v>1663956.5691716904</v>
      </c>
      <c r="Y112" s="164">
        <f t="shared" si="17"/>
        <v>1757224.6789198776</v>
      </c>
      <c r="Z112" s="164">
        <f t="shared" si="17"/>
        <v>1851670.7656839832</v>
      </c>
    </row>
    <row r="118" spans="20:26" hidden="1" x14ac:dyDescent="0.3">
      <c r="T118" s="164">
        <v>0</v>
      </c>
      <c r="U118" s="164">
        <f t="shared" ref="U118:Z121" si="18">U109/1000</f>
        <v>1723.8128852903137</v>
      </c>
      <c r="V118" s="164">
        <f t="shared" si="18"/>
        <v>1793.7942991952355</v>
      </c>
      <c r="W118" s="164">
        <f t="shared" si="18"/>
        <v>1889.511163000293</v>
      </c>
      <c r="X118" s="164">
        <f t="shared" si="18"/>
        <v>1990.3354786579889</v>
      </c>
      <c r="Y118" s="164">
        <f t="shared" si="18"/>
        <v>2096.5397797991791</v>
      </c>
      <c r="Z118" s="164">
        <f t="shared" si="18"/>
        <v>2208.411142449263</v>
      </c>
    </row>
    <row r="119" spans="20:26" hidden="1" x14ac:dyDescent="0.3">
      <c r="T119" s="164">
        <v>0</v>
      </c>
      <c r="U119" s="164">
        <f t="shared" si="18"/>
        <v>-282.80566236907674</v>
      </c>
      <c r="V119" s="164">
        <f t="shared" si="18"/>
        <v>-303.24876827736421</v>
      </c>
      <c r="W119" s="164">
        <f t="shared" si="18"/>
        <v>-316.8315907430167</v>
      </c>
      <c r="X119" s="164">
        <f t="shared" si="18"/>
        <v>-326.37890948629843</v>
      </c>
      <c r="Y119" s="164">
        <f t="shared" si="18"/>
        <v>-339.31510087930161</v>
      </c>
      <c r="Z119" s="164">
        <f t="shared" si="18"/>
        <v>-356.74037676527973</v>
      </c>
    </row>
    <row r="120" spans="20:26" hidden="1" x14ac:dyDescent="0.3">
      <c r="T120" s="166">
        <f>T118+T119</f>
        <v>0</v>
      </c>
      <c r="U120" s="166">
        <f t="shared" si="18"/>
        <v>1441.0072229212369</v>
      </c>
      <c r="V120" s="166">
        <f t="shared" si="18"/>
        <v>1490.5455309178712</v>
      </c>
      <c r="W120" s="166">
        <f t="shared" si="18"/>
        <v>1572.6795722572765</v>
      </c>
      <c r="X120" s="166">
        <f t="shared" si="18"/>
        <v>1663.9565691716905</v>
      </c>
      <c r="Y120" s="166">
        <f t="shared" si="18"/>
        <v>1757.2246789198775</v>
      </c>
      <c r="Z120" s="166">
        <f t="shared" si="18"/>
        <v>1851.6707656839833</v>
      </c>
    </row>
    <row r="121" spans="20:26" hidden="1" x14ac:dyDescent="0.3">
      <c r="T121" s="164"/>
      <c r="U121" s="164">
        <f t="shared" si="18"/>
        <v>1441.0072229212369</v>
      </c>
      <c r="V121" s="164">
        <f t="shared" si="18"/>
        <v>1490.5455309178712</v>
      </c>
      <c r="W121" s="164">
        <f t="shared" si="18"/>
        <v>1572.6795722572765</v>
      </c>
      <c r="X121" s="164">
        <f t="shared" si="18"/>
        <v>1663.9565691716905</v>
      </c>
      <c r="Y121" s="164">
        <f t="shared" si="18"/>
        <v>1757.2246789198775</v>
      </c>
      <c r="Z121" s="164">
        <f t="shared" si="18"/>
        <v>1851.6707656839833</v>
      </c>
    </row>
    <row r="122" spans="20:26" hidden="1" x14ac:dyDescent="0.3">
      <c r="U122" s="164">
        <f>U121-T121</f>
        <v>1441.0072229212369</v>
      </c>
      <c r="V122" s="164">
        <f t="shared" ref="V122:Z122" si="19">V121-U121</f>
        <v>49.53830799663433</v>
      </c>
      <c r="W122" s="164">
        <f t="shared" si="19"/>
        <v>82.134041339405258</v>
      </c>
      <c r="X122" s="164">
        <f t="shared" si="19"/>
        <v>91.276996914413985</v>
      </c>
      <c r="Y122" s="164">
        <f t="shared" si="19"/>
        <v>93.268109748187044</v>
      </c>
      <c r="Z122" s="164">
        <f t="shared" si="19"/>
        <v>94.446086764105758</v>
      </c>
    </row>
    <row r="123" spans="20:26" hidden="1" x14ac:dyDescent="0.3">
      <c r="U123" s="135" t="e">
        <f>U122/T121</f>
        <v>#DIV/0!</v>
      </c>
      <c r="V123" s="135">
        <f t="shared" ref="V123:Z123" si="20">V122/U121</f>
        <v>3.4377557036951792E-2</v>
      </c>
      <c r="W123" s="135">
        <f t="shared" si="20"/>
        <v>5.5103342793445219E-2</v>
      </c>
      <c r="X123" s="135">
        <f t="shared" si="20"/>
        <v>5.8039157196785839E-2</v>
      </c>
      <c r="Y123" s="135">
        <f t="shared" si="20"/>
        <v>5.6052009695550804E-2</v>
      </c>
      <c r="Z123" s="135">
        <f t="shared" si="20"/>
        <v>5.3747302719513036E-2</v>
      </c>
    </row>
  </sheetData>
  <mergeCells count="11">
    <mergeCell ref="A1:B1"/>
    <mergeCell ref="M41:X41"/>
    <mergeCell ref="P47:S47"/>
    <mergeCell ref="P48:S48"/>
    <mergeCell ref="T8:T10"/>
    <mergeCell ref="U9:U10"/>
    <mergeCell ref="M37:X37"/>
    <mergeCell ref="M38:X38"/>
    <mergeCell ref="M39:X39"/>
    <mergeCell ref="M40:X40"/>
    <mergeCell ref="E1:G1"/>
  </mergeCells>
  <conditionalFormatting sqref="C9:I27">
    <cfRule type="cellIs" dxfId="0" priority="1" operator="lessThan">
      <formula>-0.5</formula>
    </cfRule>
  </conditionalFormatting>
  <hyperlinks>
    <hyperlink ref="A1" location="Contents!A1" display="Back to contents" xr:uid="{B47821F7-B5B1-4B18-8FBE-AC953CB3D344}"/>
    <hyperlink ref="P55" r:id="rId1" xr:uid="{B6A500E5-EF6B-4484-A11B-15453421E071}"/>
  </hyperlinks>
  <pageMargins left="0.7" right="0.7" top="0.75" bottom="0.75" header="0.3" footer="0.3"/>
  <pageSetup paperSize="9" scale="61"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550DC-24E8-42A6-9104-7002CD4D195F}">
  <sheetPr>
    <tabColor theme="2"/>
    <pageSetUpPr fitToPage="1"/>
  </sheetPr>
  <dimension ref="A1:AD122"/>
  <sheetViews>
    <sheetView zoomScaleNormal="100" workbookViewId="0">
      <selection sqref="A1:B1"/>
    </sheetView>
  </sheetViews>
  <sheetFormatPr defaultColWidth="0" defaultRowHeight="14.4" customHeight="1" zeroHeight="1" x14ac:dyDescent="0.3"/>
  <cols>
    <col min="1" max="1" width="9.5546875" style="2" customWidth="1"/>
    <col min="2" max="2" width="47.88671875" style="2" bestFit="1" customWidth="1"/>
    <col min="3" max="9" width="10.77734375" style="2" customWidth="1"/>
    <col min="10" max="10" width="9.5546875" style="2" bestFit="1" customWidth="1"/>
    <col min="11" max="12" width="0" hidden="1" customWidth="1"/>
    <col min="13" max="13" width="37.33203125" hidden="1" customWidth="1"/>
    <col min="14" max="15" width="11.21875" hidden="1" customWidth="1"/>
    <col min="16" max="16" width="22.5546875" hidden="1" customWidth="1"/>
    <col min="17" max="19" width="0" hidden="1" customWidth="1"/>
    <col min="20" max="20" width="13.33203125" hidden="1" customWidth="1"/>
    <col min="21" max="21" width="12" hidden="1" customWidth="1"/>
    <col min="22" max="22" width="12.6640625" hidden="1" customWidth="1"/>
    <col min="23" max="23" width="11.5546875" hidden="1" customWidth="1"/>
    <col min="24" max="24" width="15.44140625" hidden="1" customWidth="1"/>
    <col min="25" max="25" width="0" hidden="1" customWidth="1"/>
    <col min="26" max="26" width="13.109375" hidden="1" customWidth="1"/>
    <col min="27" max="30" width="0" hidden="1" customWidth="1"/>
    <col min="31" max="16384" width="8.88671875" hidden="1"/>
  </cols>
  <sheetData>
    <row r="1" spans="1:27" x14ac:dyDescent="0.3">
      <c r="A1" s="186" t="s">
        <v>9</v>
      </c>
      <c r="B1" s="186"/>
      <c r="C1" s="1"/>
      <c r="D1" s="1"/>
      <c r="E1" s="1"/>
      <c r="F1" s="1"/>
      <c r="G1" s="1"/>
      <c r="H1" s="1"/>
      <c r="I1" s="1"/>
      <c r="J1" s="1"/>
      <c r="K1" s="13"/>
    </row>
    <row r="2" spans="1:27" x14ac:dyDescent="0.3">
      <c r="A2" s="1"/>
      <c r="B2" s="1"/>
      <c r="C2" s="1"/>
      <c r="D2" s="1"/>
      <c r="K2" s="13"/>
    </row>
    <row r="3" spans="1:27" ht="15.6" x14ac:dyDescent="0.3">
      <c r="A3" s="49"/>
      <c r="B3" s="18"/>
      <c r="C3" s="1"/>
      <c r="K3" s="13"/>
    </row>
    <row r="4" spans="1:27" x14ac:dyDescent="0.3">
      <c r="K4" s="13"/>
    </row>
    <row r="5" spans="1:27" x14ac:dyDescent="0.3">
      <c r="K5" s="13"/>
    </row>
    <row r="6" spans="1:27" ht="30.6" customHeight="1" x14ac:dyDescent="0.3">
      <c r="K6" s="13"/>
    </row>
    <row r="7" spans="1:27" ht="7.05" customHeight="1" x14ac:dyDescent="0.3">
      <c r="K7" s="13"/>
    </row>
    <row r="8" spans="1:27" ht="14.4" customHeight="1" x14ac:dyDescent="0.3">
      <c r="K8" s="13"/>
      <c r="L8" s="1" t="s">
        <v>183</v>
      </c>
      <c r="N8" s="78"/>
      <c r="O8" s="78"/>
      <c r="P8" s="78"/>
      <c r="Q8" s="78"/>
      <c r="R8" s="78"/>
      <c r="S8" s="78"/>
      <c r="T8" s="187" t="s">
        <v>92</v>
      </c>
      <c r="U8" s="78"/>
      <c r="V8" s="78"/>
      <c r="W8" s="78"/>
      <c r="X8" s="78"/>
      <c r="Y8" s="78"/>
      <c r="Z8" s="78"/>
      <c r="AA8" s="1"/>
    </row>
    <row r="9" spans="1:27" ht="14.4" customHeight="1" x14ac:dyDescent="0.3">
      <c r="K9" s="13"/>
      <c r="L9" s="2"/>
      <c r="M9" s="79"/>
      <c r="N9" s="80"/>
      <c r="O9" s="80"/>
      <c r="P9" s="80"/>
      <c r="Q9" s="78"/>
      <c r="R9" s="78"/>
      <c r="S9" s="78"/>
      <c r="T9" s="187"/>
      <c r="U9" s="187" t="s">
        <v>93</v>
      </c>
      <c r="V9" s="78"/>
      <c r="W9" s="78"/>
      <c r="X9" s="78"/>
      <c r="Y9" s="78"/>
      <c r="Z9" s="78"/>
      <c r="AA9" s="1"/>
    </row>
    <row r="10" spans="1:27" ht="14.4" customHeight="1" x14ac:dyDescent="0.3">
      <c r="K10" s="13"/>
      <c r="L10" s="2"/>
      <c r="M10" s="1"/>
      <c r="N10" s="81" t="s">
        <v>92</v>
      </c>
      <c r="O10" s="81" t="s">
        <v>92</v>
      </c>
      <c r="P10" s="81" t="s">
        <v>92</v>
      </c>
      <c r="Q10" s="81" t="s">
        <v>92</v>
      </c>
      <c r="R10" s="81" t="s">
        <v>92</v>
      </c>
      <c r="S10" s="81" t="s">
        <v>92</v>
      </c>
      <c r="T10" s="188"/>
      <c r="U10" s="188"/>
      <c r="V10" s="81" t="s">
        <v>94</v>
      </c>
      <c r="W10" s="81" t="s">
        <v>94</v>
      </c>
      <c r="X10" s="81" t="s">
        <v>94</v>
      </c>
      <c r="Y10" s="81" t="s">
        <v>94</v>
      </c>
      <c r="Z10" s="81" t="s">
        <v>94</v>
      </c>
      <c r="AA10" s="1"/>
    </row>
    <row r="11" spans="1:27" ht="14.4" customHeight="1" x14ac:dyDescent="0.3">
      <c r="K11" s="13"/>
      <c r="L11" s="2"/>
      <c r="M11" s="82"/>
      <c r="N11" s="83" t="s">
        <v>95</v>
      </c>
      <c r="O11" s="83" t="s">
        <v>96</v>
      </c>
      <c r="P11" s="83" t="s">
        <v>97</v>
      </c>
      <c r="Q11" s="83" t="s">
        <v>98</v>
      </c>
      <c r="R11" s="83" t="s">
        <v>99</v>
      </c>
      <c r="S11" s="83" t="s">
        <v>100</v>
      </c>
      <c r="T11" s="83" t="s">
        <v>10</v>
      </c>
      <c r="U11" s="83" t="s">
        <v>11</v>
      </c>
      <c r="V11" s="83" t="s">
        <v>12</v>
      </c>
      <c r="W11" s="83" t="s">
        <v>13</v>
      </c>
      <c r="X11" s="83" t="s">
        <v>14</v>
      </c>
      <c r="Y11" s="83" t="s">
        <v>15</v>
      </c>
      <c r="Z11" s="83" t="s">
        <v>16</v>
      </c>
      <c r="AA11" s="83" t="s">
        <v>101</v>
      </c>
    </row>
    <row r="12" spans="1:27" ht="14.4" customHeight="1" x14ac:dyDescent="0.3">
      <c r="K12" s="13"/>
      <c r="L12" s="2"/>
      <c r="M12" s="84"/>
      <c r="N12" s="85"/>
      <c r="O12" s="85"/>
      <c r="P12" s="85"/>
      <c r="Q12" s="85"/>
      <c r="R12" s="85"/>
      <c r="S12" s="85"/>
      <c r="T12" s="85"/>
      <c r="U12" s="85"/>
      <c r="V12" s="85"/>
      <c r="W12" s="85"/>
      <c r="X12" s="85"/>
      <c r="Y12" s="85"/>
      <c r="Z12" s="85"/>
      <c r="AA12" s="86"/>
    </row>
    <row r="13" spans="1:27" ht="14.4" customHeight="1" x14ac:dyDescent="0.3">
      <c r="K13" s="13"/>
      <c r="L13" s="2"/>
      <c r="M13" s="87" t="s">
        <v>102</v>
      </c>
      <c r="N13" s="88">
        <f t="shared" ref="N13:Z13" si="0">N29</f>
        <v>953027.16999509046</v>
      </c>
      <c r="O13" s="88">
        <f t="shared" si="0"/>
        <v>1011626.2459599295</v>
      </c>
      <c r="P13" s="88">
        <f t="shared" si="0"/>
        <v>1074324.7831914925</v>
      </c>
      <c r="Q13" s="88">
        <f t="shared" si="0"/>
        <v>1134181.2243579652</v>
      </c>
      <c r="R13" s="88">
        <f t="shared" si="0"/>
        <v>1187035.9774848334</v>
      </c>
      <c r="S13" s="88">
        <f t="shared" si="0"/>
        <v>1267410.7401731694</v>
      </c>
      <c r="T13" s="88">
        <f t="shared" si="0"/>
        <v>1342792.392523794</v>
      </c>
      <c r="U13" s="88">
        <f t="shared" si="0"/>
        <v>1441007.2229212369</v>
      </c>
      <c r="V13" s="88">
        <f t="shared" si="0"/>
        <v>1490545.5309178713</v>
      </c>
      <c r="W13" s="88">
        <f t="shared" si="0"/>
        <v>1504293.6097647371</v>
      </c>
      <c r="X13" s="88">
        <f t="shared" si="0"/>
        <v>1522988.4815280698</v>
      </c>
      <c r="Y13" s="88">
        <f t="shared" si="0"/>
        <v>1539250.0195255741</v>
      </c>
      <c r="Z13" s="88">
        <f t="shared" si="0"/>
        <v>1552024.5877536284</v>
      </c>
      <c r="AA13" s="89"/>
    </row>
    <row r="14" spans="1:27" ht="14.4" customHeight="1" x14ac:dyDescent="0.3">
      <c r="K14" s="13"/>
      <c r="L14" s="2"/>
      <c r="M14" s="90"/>
      <c r="N14" s="77"/>
      <c r="O14" s="77"/>
      <c r="P14" s="77"/>
      <c r="Q14" s="77"/>
      <c r="R14" s="91"/>
      <c r="S14" s="91"/>
      <c r="T14" s="91"/>
      <c r="U14" s="91"/>
      <c r="V14" s="91"/>
      <c r="W14" s="91"/>
      <c r="X14" s="91"/>
      <c r="Y14" s="91"/>
      <c r="Z14" s="91"/>
      <c r="AA14" s="86"/>
    </row>
    <row r="15" spans="1:27" ht="14.4" customHeight="1" x14ac:dyDescent="0.3">
      <c r="K15" s="13"/>
      <c r="L15" s="2"/>
      <c r="M15" s="90"/>
      <c r="N15" s="77"/>
      <c r="O15" s="77"/>
      <c r="P15" s="77"/>
      <c r="Q15" s="77"/>
      <c r="R15" s="91"/>
      <c r="S15" s="91"/>
      <c r="T15" s="91"/>
      <c r="U15" s="91"/>
      <c r="V15" s="91"/>
      <c r="W15" s="91"/>
      <c r="X15" s="91"/>
      <c r="Y15" s="91"/>
      <c r="Z15" s="91"/>
      <c r="AA15" s="86"/>
    </row>
    <row r="16" spans="1:27" ht="14.4" customHeight="1" x14ac:dyDescent="0.3">
      <c r="K16" s="13"/>
      <c r="L16" s="2"/>
      <c r="M16" s="90" t="s">
        <v>103</v>
      </c>
      <c r="N16" s="91">
        <v>1160929.0477100001</v>
      </c>
      <c r="O16" s="91">
        <v>1173332.8046850001</v>
      </c>
      <c r="P16" s="91">
        <v>1183211.72887</v>
      </c>
      <c r="Q16" s="91">
        <v>1192504.3117879999</v>
      </c>
      <c r="R16" s="91">
        <v>1207018.0551849999</v>
      </c>
      <c r="S16" s="91">
        <v>1215499.6577999999</v>
      </c>
      <c r="T16" s="91">
        <v>1224141.3951950001</v>
      </c>
      <c r="U16" s="91">
        <v>1238219.3057550001</v>
      </c>
      <c r="V16" s="91">
        <v>1244634.4883855185</v>
      </c>
      <c r="W16" s="91">
        <f t="shared" ref="W16:Z17" si="1">V16+(V16*W19)</f>
        <v>1254591.5642926027</v>
      </c>
      <c r="X16" s="91">
        <f t="shared" si="1"/>
        <v>1264628.2968069436</v>
      </c>
      <c r="Y16" s="91">
        <f t="shared" si="1"/>
        <v>1274745.3231813991</v>
      </c>
      <c r="Z16" s="91">
        <f t="shared" si="1"/>
        <v>1284943.2857668502</v>
      </c>
      <c r="AA16" s="86"/>
    </row>
    <row r="17" spans="1:27" ht="14.4" customHeight="1" x14ac:dyDescent="0.3">
      <c r="K17" s="13"/>
      <c r="L17" s="2"/>
      <c r="M17" s="90" t="s">
        <v>104</v>
      </c>
      <c r="N17" s="92">
        <v>1027.01</v>
      </c>
      <c r="O17" s="92">
        <v>1070.531013</v>
      </c>
      <c r="P17" s="92">
        <v>1117.0971460000001</v>
      </c>
      <c r="Q17" s="92">
        <v>1157.8900000000001</v>
      </c>
      <c r="R17" s="92">
        <v>1193.2962</v>
      </c>
      <c r="S17" s="92">
        <v>1253.330197</v>
      </c>
      <c r="T17" s="92">
        <v>1330.4146000000001</v>
      </c>
      <c r="U17" s="92">
        <v>1392.1709000000001</v>
      </c>
      <c r="V17" s="93">
        <v>1441.221753</v>
      </c>
      <c r="W17" s="93">
        <f t="shared" si="1"/>
        <v>1441.221753</v>
      </c>
      <c r="X17" s="93">
        <f t="shared" si="1"/>
        <v>1441.221753</v>
      </c>
      <c r="Y17" s="93">
        <f t="shared" si="1"/>
        <v>1441.221753</v>
      </c>
      <c r="Z17" s="93">
        <f t="shared" si="1"/>
        <v>1441.221753</v>
      </c>
      <c r="AA17" s="86"/>
    </row>
    <row r="18" spans="1:27" ht="7.05" customHeight="1" x14ac:dyDescent="0.3">
      <c r="K18" s="13"/>
      <c r="L18" s="2"/>
      <c r="M18" s="90"/>
      <c r="N18" s="77"/>
      <c r="O18" s="77"/>
      <c r="P18" s="77"/>
      <c r="Q18" s="77"/>
      <c r="R18" s="77"/>
      <c r="S18" s="77"/>
      <c r="T18" s="77"/>
      <c r="U18" s="77"/>
      <c r="V18" s="77"/>
      <c r="W18" s="77"/>
      <c r="X18" s="77"/>
      <c r="Y18" s="77"/>
      <c r="Z18" s="77"/>
      <c r="AA18" s="94"/>
    </row>
    <row r="19" spans="1:27" ht="14.4" customHeight="1" x14ac:dyDescent="0.3">
      <c r="K19" s="13"/>
      <c r="L19" s="2"/>
      <c r="M19" s="90" t="s">
        <v>105</v>
      </c>
      <c r="N19" s="77"/>
      <c r="O19" s="95">
        <f t="shared" ref="O19:V20" si="2">(O16-N16)/N16</f>
        <v>1.0684336824431396E-2</v>
      </c>
      <c r="P19" s="95">
        <f t="shared" si="2"/>
        <v>8.419541451116291E-3</v>
      </c>
      <c r="Q19" s="95">
        <f t="shared" si="2"/>
        <v>7.8536940526059661E-3</v>
      </c>
      <c r="R19" s="95">
        <f t="shared" si="2"/>
        <v>1.2170809995008408E-2</v>
      </c>
      <c r="S19" s="95">
        <f t="shared" si="2"/>
        <v>7.0269061664533297E-3</v>
      </c>
      <c r="T19" s="95">
        <f t="shared" si="2"/>
        <v>7.109617299803553E-3</v>
      </c>
      <c r="U19" s="96">
        <f t="shared" si="2"/>
        <v>1.1500232420256848E-2</v>
      </c>
      <c r="V19" s="96">
        <f t="shared" si="2"/>
        <v>5.1809744854582245E-3</v>
      </c>
      <c r="W19" s="97">
        <v>8.0000000000000002E-3</v>
      </c>
      <c r="X19" s="97">
        <v>8.0000000000000002E-3</v>
      </c>
      <c r="Y19" s="97">
        <v>8.0000000000000002E-3</v>
      </c>
      <c r="Z19" s="97">
        <v>8.0000000000000002E-3</v>
      </c>
      <c r="AA19" s="86" t="s">
        <v>106</v>
      </c>
    </row>
    <row r="20" spans="1:27" ht="14.4" customHeight="1" x14ac:dyDescent="0.3">
      <c r="K20" s="13"/>
      <c r="L20" s="2"/>
      <c r="M20" s="98" t="s">
        <v>107</v>
      </c>
      <c r="N20" s="99"/>
      <c r="O20" s="100">
        <f t="shared" si="2"/>
        <v>4.2376425740742581E-2</v>
      </c>
      <c r="P20" s="100">
        <f t="shared" si="2"/>
        <v>4.3498163467030761E-2</v>
      </c>
      <c r="Q20" s="100">
        <f t="shared" si="2"/>
        <v>3.6516836647615993E-2</v>
      </c>
      <c r="R20" s="100">
        <f t="shared" si="2"/>
        <v>3.0578206910846364E-2</v>
      </c>
      <c r="S20" s="100">
        <f t="shared" si="2"/>
        <v>5.0309384208212515E-2</v>
      </c>
      <c r="T20" s="100">
        <f t="shared" si="2"/>
        <v>6.1503666938298514E-2</v>
      </c>
      <c r="U20" s="100">
        <f t="shared" si="2"/>
        <v>4.6418838157669048E-2</v>
      </c>
      <c r="V20" s="101">
        <v>3.5999999999999997E-2</v>
      </c>
      <c r="W20" s="102">
        <f>I3</f>
        <v>0</v>
      </c>
      <c r="X20" s="102">
        <f>W20</f>
        <v>0</v>
      </c>
      <c r="Y20" s="102">
        <f t="shared" ref="Y20:Z20" si="3">X20</f>
        <v>0</v>
      </c>
      <c r="Z20" s="102">
        <f t="shared" si="3"/>
        <v>0</v>
      </c>
      <c r="AA20" s="86" t="s">
        <v>108</v>
      </c>
    </row>
    <row r="21" spans="1:27" ht="14.4" customHeight="1" x14ac:dyDescent="0.3">
      <c r="K21" s="13"/>
      <c r="L21" s="2"/>
      <c r="M21" s="98"/>
      <c r="N21" s="99"/>
      <c r="O21" s="99"/>
      <c r="P21" s="99"/>
      <c r="Q21" s="99"/>
      <c r="R21" s="99"/>
      <c r="S21" s="99"/>
      <c r="T21" s="99"/>
      <c r="U21" s="99"/>
      <c r="V21" s="99"/>
      <c r="W21" s="99"/>
      <c r="X21" s="99"/>
      <c r="Y21" s="99"/>
      <c r="Z21" s="99"/>
      <c r="AA21" s="86"/>
    </row>
    <row r="22" spans="1:27" ht="14.4" customHeight="1" x14ac:dyDescent="0.3">
      <c r="K22" s="13"/>
      <c r="L22" s="2"/>
      <c r="M22" s="103" t="s">
        <v>109</v>
      </c>
      <c r="N22" s="104">
        <f t="shared" ref="N22:Z22" si="4">(N16*N17)/1000</f>
        <v>1192285.7412886473</v>
      </c>
      <c r="O22" s="104">
        <f t="shared" si="4"/>
        <v>1256089.1559855642</v>
      </c>
      <c r="P22" s="104">
        <f t="shared" si="4"/>
        <v>1321762.4454344029</v>
      </c>
      <c r="Q22" s="104">
        <f t="shared" si="4"/>
        <v>1380788.8175762075</v>
      </c>
      <c r="R22" s="104">
        <f t="shared" si="4"/>
        <v>1440330.0585836507</v>
      </c>
      <c r="S22" s="104">
        <f t="shared" si="4"/>
        <v>1523422.4255639063</v>
      </c>
      <c r="T22" s="104">
        <f t="shared" si="4"/>
        <v>1628615.5846317981</v>
      </c>
      <c r="U22" s="104">
        <f t="shared" si="4"/>
        <v>1723812.8852903137</v>
      </c>
      <c r="V22" s="104">
        <f t="shared" si="4"/>
        <v>1793794.2991952354</v>
      </c>
      <c r="W22" s="104">
        <f t="shared" si="4"/>
        <v>1808144.6535887972</v>
      </c>
      <c r="X22" s="104">
        <f t="shared" si="4"/>
        <v>1822609.8108175076</v>
      </c>
      <c r="Y22" s="104">
        <f t="shared" si="4"/>
        <v>1837190.6893040475</v>
      </c>
      <c r="Z22" s="104">
        <f t="shared" si="4"/>
        <v>1851888.2148184797</v>
      </c>
      <c r="AA22" s="89"/>
    </row>
    <row r="23" spans="1:27" ht="14.4" customHeight="1" x14ac:dyDescent="0.3">
      <c r="K23" s="13"/>
      <c r="L23" s="2"/>
      <c r="M23" s="98"/>
      <c r="N23" s="99"/>
      <c r="O23" s="99"/>
      <c r="P23" s="99"/>
      <c r="Q23" s="99"/>
      <c r="R23" s="105"/>
      <c r="S23" s="105"/>
      <c r="T23" s="105"/>
      <c r="U23" s="105"/>
      <c r="V23" s="105"/>
      <c r="W23" s="105"/>
      <c r="X23" s="105"/>
      <c r="Y23" s="105"/>
      <c r="Z23" s="105"/>
      <c r="AA23" s="86"/>
    </row>
    <row r="24" spans="1:27" ht="14.4" customHeight="1" x14ac:dyDescent="0.3">
      <c r="K24" s="13"/>
      <c r="L24" s="2"/>
      <c r="M24" s="98" t="s">
        <v>110</v>
      </c>
      <c r="N24" s="106">
        <v>-244000</v>
      </c>
      <c r="O24" s="106">
        <v>-246885</v>
      </c>
      <c r="P24" s="106">
        <v>-247366</v>
      </c>
      <c r="Q24" s="106">
        <v>-246721</v>
      </c>
      <c r="R24" s="106">
        <v>-247413</v>
      </c>
      <c r="S24" s="106">
        <v>-252096</v>
      </c>
      <c r="T24" s="106">
        <v>-259816</v>
      </c>
      <c r="U24" s="105">
        <f>U48*-1000</f>
        <v>-282805.66236907674</v>
      </c>
      <c r="V24" s="105">
        <f t="shared" ref="V24:Z24" si="5">V48*-1000</f>
        <v>-303248.7682773642</v>
      </c>
      <c r="W24" s="105">
        <f t="shared" si="5"/>
        <v>-303851.04382406001</v>
      </c>
      <c r="X24" s="105">
        <f t="shared" si="5"/>
        <v>-299621.3292894378</v>
      </c>
      <c r="Y24" s="105">
        <f t="shared" si="5"/>
        <v>-297940.66977847356</v>
      </c>
      <c r="Z24" s="105">
        <f t="shared" si="5"/>
        <v>-299863.62706485135</v>
      </c>
      <c r="AA24" s="107"/>
    </row>
    <row r="25" spans="1:27" ht="14.4" customHeight="1" x14ac:dyDescent="0.3">
      <c r="K25" s="13"/>
      <c r="L25" s="2"/>
      <c r="M25" s="98" t="s">
        <v>111</v>
      </c>
      <c r="N25" s="100">
        <f t="shared" ref="N25:Z25" si="6">N24/N22</f>
        <v>-0.20464892898599937</v>
      </c>
      <c r="O25" s="100">
        <f t="shared" si="6"/>
        <v>-0.1965505384896718</v>
      </c>
      <c r="P25" s="100">
        <f t="shared" si="6"/>
        <v>-0.18714860666108735</v>
      </c>
      <c r="Q25" s="100">
        <f t="shared" si="6"/>
        <v>-0.17868119792068288</v>
      </c>
      <c r="R25" s="100">
        <f t="shared" si="6"/>
        <v>-0.17177521119242189</v>
      </c>
      <c r="S25" s="100">
        <f t="shared" si="6"/>
        <v>-0.16548003742736342</v>
      </c>
      <c r="T25" s="100">
        <f t="shared" si="6"/>
        <v>-0.15953181490568868</v>
      </c>
      <c r="U25" s="100">
        <f t="shared" si="6"/>
        <v>-0.16405821350003913</v>
      </c>
      <c r="V25" s="100">
        <f t="shared" si="6"/>
        <v>-0.16905437173783705</v>
      </c>
      <c r="W25" s="100">
        <f t="shared" si="6"/>
        <v>-0.16804576073102218</v>
      </c>
      <c r="X25" s="100">
        <f t="shared" si="6"/>
        <v>-0.16439137302517132</v>
      </c>
      <c r="Y25" s="100">
        <f t="shared" si="6"/>
        <v>-0.16217188096644311</v>
      </c>
      <c r="Z25" s="100">
        <f t="shared" si="6"/>
        <v>-0.16192317909115464</v>
      </c>
      <c r="AA25" s="107" t="s">
        <v>112</v>
      </c>
    </row>
    <row r="26" spans="1:27" ht="14.4" customHeight="1" x14ac:dyDescent="0.3">
      <c r="K26" s="13"/>
      <c r="L26" s="2"/>
      <c r="M26" s="98"/>
      <c r="N26" s="106"/>
      <c r="O26" s="106"/>
      <c r="P26" s="106"/>
      <c r="Q26" s="106"/>
      <c r="R26" s="106"/>
      <c r="S26" s="106"/>
      <c r="T26" s="106"/>
      <c r="U26" s="108"/>
      <c r="V26" s="108"/>
      <c r="W26" s="108"/>
      <c r="X26" s="108"/>
      <c r="Y26" s="108"/>
      <c r="Z26" s="108"/>
      <c r="AA26" s="107"/>
    </row>
    <row r="27" spans="1:27" ht="14.4" customHeight="1" x14ac:dyDescent="0.3">
      <c r="K27" s="13"/>
      <c r="L27" s="2"/>
      <c r="M27" s="98" t="s">
        <v>113</v>
      </c>
      <c r="N27" s="100">
        <v>1.0049999999999999</v>
      </c>
      <c r="O27" s="100">
        <v>1.0024</v>
      </c>
      <c r="P27" s="100">
        <v>0.99993330000000002</v>
      </c>
      <c r="Q27" s="100">
        <v>1.0001</v>
      </c>
      <c r="R27" s="100">
        <v>0.99507000000000001</v>
      </c>
      <c r="S27" s="100">
        <v>0.99691999999999992</v>
      </c>
      <c r="T27" s="100">
        <v>0.98099999999999998</v>
      </c>
      <c r="U27" s="102">
        <v>1</v>
      </c>
      <c r="V27" s="102">
        <v>1</v>
      </c>
      <c r="W27" s="102">
        <v>1</v>
      </c>
      <c r="X27" s="102">
        <v>1</v>
      </c>
      <c r="Y27" s="102">
        <v>1</v>
      </c>
      <c r="Z27" s="102">
        <v>1</v>
      </c>
      <c r="AA27" s="107"/>
    </row>
    <row r="28" spans="1:27" ht="7.05" customHeight="1" x14ac:dyDescent="0.3">
      <c r="K28" s="13"/>
      <c r="L28" s="2"/>
      <c r="M28" s="98"/>
      <c r="N28" s="99"/>
      <c r="O28" s="99"/>
      <c r="P28" s="99"/>
      <c r="Q28" s="99"/>
      <c r="R28" s="99"/>
      <c r="S28" s="99"/>
      <c r="T28" s="99"/>
      <c r="U28" s="99"/>
      <c r="V28" s="99"/>
      <c r="W28" s="99"/>
      <c r="X28" s="99"/>
      <c r="Y28" s="99"/>
      <c r="Z28" s="99"/>
      <c r="AA28" s="107"/>
    </row>
    <row r="29" spans="1:27" x14ac:dyDescent="0.3">
      <c r="K29" s="13"/>
      <c r="L29" s="2"/>
      <c r="M29" s="90" t="s">
        <v>114</v>
      </c>
      <c r="N29" s="106">
        <f>(N22+N24)*N27</f>
        <v>953027.16999509046</v>
      </c>
      <c r="O29" s="106">
        <f t="shared" ref="O29:Z29" si="7">(O22+O24)*O27</f>
        <v>1011626.2459599295</v>
      </c>
      <c r="P29" s="106">
        <f t="shared" si="7"/>
        <v>1074324.7831914925</v>
      </c>
      <c r="Q29" s="106">
        <f t="shared" si="7"/>
        <v>1134181.2243579652</v>
      </c>
      <c r="R29" s="106">
        <f t="shared" si="7"/>
        <v>1187035.9774848334</v>
      </c>
      <c r="S29" s="106">
        <f t="shared" si="7"/>
        <v>1267410.7401731694</v>
      </c>
      <c r="T29" s="106">
        <f t="shared" si="7"/>
        <v>1342792.392523794</v>
      </c>
      <c r="U29" s="106">
        <f t="shared" si="7"/>
        <v>1441007.2229212369</v>
      </c>
      <c r="V29" s="106">
        <f t="shared" si="7"/>
        <v>1490545.5309178713</v>
      </c>
      <c r="W29" s="106">
        <f t="shared" si="7"/>
        <v>1504293.6097647371</v>
      </c>
      <c r="X29" s="106">
        <f t="shared" si="7"/>
        <v>1522988.4815280698</v>
      </c>
      <c r="Y29" s="106">
        <f t="shared" si="7"/>
        <v>1539250.0195255741</v>
      </c>
      <c r="Z29" s="106">
        <f t="shared" si="7"/>
        <v>1552024.5877536284</v>
      </c>
      <c r="AA29" s="86"/>
    </row>
    <row r="30" spans="1:27" x14ac:dyDescent="0.3">
      <c r="K30" s="13"/>
      <c r="L30" s="2"/>
      <c r="M30" s="109" t="s">
        <v>115</v>
      </c>
      <c r="N30" s="110">
        <f>N29-N24</f>
        <v>1197027.1699950905</v>
      </c>
      <c r="O30" s="110">
        <f t="shared" ref="O30:Z30" si="8">O29-O24</f>
        <v>1258511.2459599297</v>
      </c>
      <c r="P30" s="110">
        <f t="shared" si="8"/>
        <v>1321690.7831914925</v>
      </c>
      <c r="Q30" s="110">
        <f t="shared" si="8"/>
        <v>1380902.2243579652</v>
      </c>
      <c r="R30" s="110">
        <f t="shared" si="8"/>
        <v>1434448.9774848334</v>
      </c>
      <c r="S30" s="110">
        <f t="shared" si="8"/>
        <v>1519506.7401731694</v>
      </c>
      <c r="T30" s="110">
        <f t="shared" si="8"/>
        <v>1602608.392523794</v>
      </c>
      <c r="U30" s="110">
        <f t="shared" si="8"/>
        <v>1723812.8852903135</v>
      </c>
      <c r="V30" s="110">
        <f t="shared" si="8"/>
        <v>1793794.2991952356</v>
      </c>
      <c r="W30" s="110">
        <f t="shared" si="8"/>
        <v>1808144.653588797</v>
      </c>
      <c r="X30" s="110">
        <f t="shared" si="8"/>
        <v>1822609.8108175076</v>
      </c>
      <c r="Y30" s="110">
        <f t="shared" si="8"/>
        <v>1837190.6893040477</v>
      </c>
      <c r="Z30" s="110">
        <f t="shared" si="8"/>
        <v>1851888.2148184797</v>
      </c>
      <c r="AA30" s="89"/>
    </row>
    <row r="31" spans="1:27" ht="15.6" x14ac:dyDescent="0.3">
      <c r="A31" s="18"/>
      <c r="B31" s="18"/>
      <c r="C31" s="1"/>
      <c r="D31" s="1"/>
      <c r="E31" s="1"/>
      <c r="F31" s="1"/>
      <c r="G31" s="1"/>
      <c r="H31" s="1"/>
      <c r="I31" s="1"/>
      <c r="J31" s="1"/>
      <c r="K31" s="13"/>
      <c r="L31" s="2"/>
      <c r="M31" s="1"/>
      <c r="N31" s="111"/>
      <c r="O31" s="111"/>
      <c r="P31" s="111"/>
      <c r="Q31" s="111"/>
      <c r="R31" s="111"/>
      <c r="S31" s="111"/>
      <c r="T31" s="111"/>
      <c r="U31" s="111"/>
      <c r="V31" s="111"/>
      <c r="W31" s="112"/>
      <c r="X31" s="112"/>
      <c r="Y31" s="112"/>
      <c r="Z31" s="112"/>
      <c r="AA31" s="1"/>
    </row>
    <row r="32" spans="1:27" ht="15.6" hidden="1" x14ac:dyDescent="0.3">
      <c r="A32" s="18"/>
      <c r="B32" s="18"/>
      <c r="C32" s="1"/>
      <c r="D32" s="1"/>
      <c r="E32" s="1"/>
      <c r="F32" s="1"/>
      <c r="G32" s="1"/>
      <c r="H32" s="1"/>
      <c r="I32" s="1"/>
      <c r="J32" s="1"/>
      <c r="K32" s="13"/>
      <c r="L32" s="2"/>
      <c r="M32" s="1"/>
      <c r="N32" s="113"/>
      <c r="O32" s="113"/>
      <c r="P32" s="113"/>
      <c r="Q32" s="113"/>
      <c r="R32" s="113"/>
      <c r="S32" s="113"/>
      <c r="T32" s="113"/>
      <c r="U32" s="114"/>
      <c r="V32" s="112"/>
      <c r="W32" s="112"/>
      <c r="X32" s="112"/>
      <c r="Y32" s="112"/>
      <c r="Z32" s="112"/>
      <c r="AA32" s="1"/>
    </row>
    <row r="33" spans="11:27" s="2" customFormat="1" ht="20.399999999999999" hidden="1" customHeight="1" x14ac:dyDescent="0.3">
      <c r="K33"/>
      <c r="M33" s="1"/>
      <c r="N33" s="113"/>
      <c r="O33" s="113"/>
      <c r="P33" s="113"/>
      <c r="Q33" s="113"/>
      <c r="R33" s="113"/>
      <c r="S33" s="113"/>
      <c r="T33" s="113"/>
      <c r="U33" s="115"/>
      <c r="V33" s="116"/>
      <c r="W33" s="112"/>
      <c r="X33" s="112"/>
      <c r="Y33" s="112"/>
      <c r="Z33" s="112"/>
      <c r="AA33" s="1"/>
    </row>
    <row r="34" spans="11:27" hidden="1" x14ac:dyDescent="0.3">
      <c r="L34" s="2"/>
      <c r="M34" s="117" t="s">
        <v>116</v>
      </c>
      <c r="N34" s="118"/>
      <c r="O34" s="118"/>
      <c r="P34" s="118"/>
      <c r="Q34" s="118"/>
      <c r="R34" s="119"/>
      <c r="S34" s="119"/>
      <c r="T34" s="119"/>
      <c r="U34" s="120"/>
      <c r="V34" s="120"/>
      <c r="W34" s="120"/>
      <c r="X34" s="121"/>
      <c r="Y34" s="1"/>
      <c r="Z34" s="1"/>
      <c r="AA34" s="1"/>
    </row>
    <row r="35" spans="11:27" hidden="1" x14ac:dyDescent="0.3">
      <c r="L35" s="2"/>
      <c r="M35" s="122"/>
      <c r="N35" s="123"/>
      <c r="O35" s="123"/>
      <c r="P35" s="123"/>
      <c r="Q35" s="123"/>
      <c r="R35" s="124"/>
      <c r="S35" s="124"/>
      <c r="T35" s="124"/>
      <c r="U35" s="125"/>
      <c r="V35" s="125"/>
      <c r="W35" s="125"/>
      <c r="X35" s="126"/>
      <c r="Y35" s="1"/>
      <c r="Z35" s="127"/>
      <c r="AA35" s="127"/>
    </row>
    <row r="36" spans="11:27" hidden="1" x14ac:dyDescent="0.3">
      <c r="L36" s="128"/>
      <c r="M36" s="189" t="s">
        <v>117</v>
      </c>
      <c r="N36" s="190"/>
      <c r="O36" s="190"/>
      <c r="P36" s="190"/>
      <c r="Q36" s="190"/>
      <c r="R36" s="190"/>
      <c r="S36" s="190"/>
      <c r="T36" s="190"/>
      <c r="U36" s="190"/>
      <c r="V36" s="190"/>
      <c r="W36" s="190"/>
      <c r="X36" s="191"/>
      <c r="Y36" s="129"/>
      <c r="Z36" s="130"/>
      <c r="AA36" s="130"/>
    </row>
    <row r="37" spans="11:27" hidden="1" x14ac:dyDescent="0.3">
      <c r="L37" s="128"/>
      <c r="M37" s="189" t="s">
        <v>118</v>
      </c>
      <c r="N37" s="190"/>
      <c r="O37" s="190"/>
      <c r="P37" s="190"/>
      <c r="Q37" s="190"/>
      <c r="R37" s="190"/>
      <c r="S37" s="190"/>
      <c r="T37" s="190"/>
      <c r="U37" s="190"/>
      <c r="V37" s="190"/>
      <c r="W37" s="190"/>
      <c r="X37" s="191"/>
      <c r="Y37" s="129"/>
      <c r="Z37" s="131"/>
      <c r="AA37" s="131"/>
    </row>
    <row r="38" spans="11:27" hidden="1" x14ac:dyDescent="0.3">
      <c r="L38" s="128"/>
      <c r="M38" s="189" t="s">
        <v>119</v>
      </c>
      <c r="N38" s="190"/>
      <c r="O38" s="190"/>
      <c r="P38" s="190"/>
      <c r="Q38" s="190"/>
      <c r="R38" s="190"/>
      <c r="S38" s="190"/>
      <c r="T38" s="190"/>
      <c r="U38" s="190"/>
      <c r="V38" s="190"/>
      <c r="W38" s="190"/>
      <c r="X38" s="191"/>
      <c r="Y38" s="129"/>
      <c r="Z38" s="130"/>
      <c r="AA38" s="131"/>
    </row>
    <row r="39" spans="11:27" hidden="1" x14ac:dyDescent="0.3">
      <c r="L39" s="128"/>
      <c r="M39" s="189" t="s">
        <v>120</v>
      </c>
      <c r="N39" s="190"/>
      <c r="O39" s="190"/>
      <c r="P39" s="190"/>
      <c r="Q39" s="190"/>
      <c r="R39" s="190"/>
      <c r="S39" s="190"/>
      <c r="T39" s="190"/>
      <c r="U39" s="190"/>
      <c r="V39" s="190"/>
      <c r="W39" s="190"/>
      <c r="X39" s="191"/>
      <c r="Y39" s="132"/>
      <c r="Z39" s="133"/>
      <c r="AA39" s="131"/>
    </row>
    <row r="40" spans="11:27" hidden="1" x14ac:dyDescent="0.3">
      <c r="L40" s="128"/>
      <c r="M40" s="181" t="s">
        <v>121</v>
      </c>
      <c r="N40" s="182"/>
      <c r="O40" s="182"/>
      <c r="P40" s="182"/>
      <c r="Q40" s="182"/>
      <c r="R40" s="182"/>
      <c r="S40" s="182"/>
      <c r="T40" s="182"/>
      <c r="U40" s="182"/>
      <c r="V40" s="182"/>
      <c r="W40" s="182"/>
      <c r="X40" s="183"/>
      <c r="Y40" s="129"/>
      <c r="Z40" s="134"/>
      <c r="AA40" s="131"/>
    </row>
    <row r="41" spans="11:27" hidden="1" x14ac:dyDescent="0.3">
      <c r="L41" s="2"/>
      <c r="M41" s="1"/>
      <c r="N41" s="1"/>
      <c r="O41" s="1"/>
      <c r="P41" s="1"/>
      <c r="Q41" s="1"/>
      <c r="R41" s="127"/>
      <c r="S41" s="1"/>
      <c r="T41" s="1"/>
      <c r="U41" s="1"/>
      <c r="V41" s="1"/>
      <c r="W41" s="1"/>
      <c r="X41" s="1"/>
      <c r="Y41" s="1"/>
      <c r="Z41" s="1"/>
      <c r="AA41" s="1"/>
    </row>
    <row r="42" spans="11:27" hidden="1" x14ac:dyDescent="0.3">
      <c r="T42" s="135"/>
    </row>
    <row r="43" spans="11:27" hidden="1" x14ac:dyDescent="0.3">
      <c r="P43" s="136" t="s">
        <v>122</v>
      </c>
      <c r="Q43" s="137"/>
      <c r="R43" s="138"/>
      <c r="S43" s="137"/>
      <c r="T43" s="137"/>
      <c r="U43" s="137"/>
      <c r="V43" s="137"/>
      <c r="W43" s="137"/>
      <c r="X43" s="137"/>
      <c r="Y43" s="137"/>
      <c r="Z43" s="137"/>
      <c r="AA43" s="139"/>
    </row>
    <row r="44" spans="11:27" hidden="1" x14ac:dyDescent="0.3">
      <c r="P44" s="140"/>
      <c r="S44" s="141"/>
      <c r="W44" s="142">
        <f>(W46-V46)/V46</f>
        <v>-1.1273559422400926E-3</v>
      </c>
      <c r="X44" s="142">
        <f t="shared" ref="X44:Z44" si="9">(X46-W46)/W46</f>
        <v>-2.5372313743517082E-2</v>
      </c>
      <c r="Y44" s="142">
        <f t="shared" si="9"/>
        <v>-1.2962693286828798E-2</v>
      </c>
      <c r="Z44" s="142">
        <f t="shared" si="9"/>
        <v>5.6011697939983458E-3</v>
      </c>
      <c r="AA44" s="143"/>
    </row>
    <row r="45" spans="11:27" hidden="1" x14ac:dyDescent="0.3">
      <c r="P45" s="140"/>
      <c r="S45" s="141"/>
      <c r="T45" s="144" t="s">
        <v>10</v>
      </c>
      <c r="U45" s="144" t="s">
        <v>11</v>
      </c>
      <c r="V45" s="144" t="s">
        <v>12</v>
      </c>
      <c r="W45" s="144" t="s">
        <v>13</v>
      </c>
      <c r="X45" s="144" t="s">
        <v>14</v>
      </c>
      <c r="Y45" s="144" t="s">
        <v>15</v>
      </c>
      <c r="Z45" s="144" t="s">
        <v>16</v>
      </c>
      <c r="AA45" s="143"/>
    </row>
    <row r="46" spans="11:27" hidden="1" x14ac:dyDescent="0.3">
      <c r="P46" s="184" t="s">
        <v>123</v>
      </c>
      <c r="Q46" s="185"/>
      <c r="R46" s="185"/>
      <c r="S46" s="185"/>
      <c r="T46" s="145">
        <v>165.9</v>
      </c>
      <c r="U46" s="145">
        <f>((U22*$T$52)/1000)+U53</f>
        <v>183.4</v>
      </c>
      <c r="V46" s="145">
        <f t="shared" ref="V46:Z46" si="10">((V22*$T$52)/1000)+V53</f>
        <v>199.80754679273315</v>
      </c>
      <c r="W46" s="145">
        <f t="shared" si="10"/>
        <v>199.58229256755195</v>
      </c>
      <c r="X46" s="145">
        <f t="shared" si="10"/>
        <v>194.5184280228776</v>
      </c>
      <c r="Y46" s="145">
        <f t="shared" si="10"/>
        <v>191.99694530178095</v>
      </c>
      <c r="Z46" s="145">
        <f t="shared" si="10"/>
        <v>193.07235279234524</v>
      </c>
      <c r="AA46" s="146" t="s">
        <v>124</v>
      </c>
    </row>
    <row r="47" spans="11:27" ht="15" hidden="1" thickBot="1" x14ac:dyDescent="0.35">
      <c r="P47" s="184" t="s">
        <v>125</v>
      </c>
      <c r="Q47" s="185"/>
      <c r="R47" s="185"/>
      <c r="S47" s="185"/>
      <c r="T47" s="147">
        <f>((T24/1000)-(T46*-1))*-1</f>
        <v>93.915999999999968</v>
      </c>
      <c r="U47" s="147">
        <f>(U22*$T$51)/1000</f>
        <v>99.405662369076751</v>
      </c>
      <c r="V47" s="147">
        <f t="shared" ref="V47:Z47" si="11">(V22*$T$51)/1000</f>
        <v>103.44122148463103</v>
      </c>
      <c r="W47" s="147">
        <f t="shared" si="11"/>
        <v>104.26875125650807</v>
      </c>
      <c r="X47" s="147">
        <f t="shared" si="11"/>
        <v>105.10290126656014</v>
      </c>
      <c r="Y47" s="147">
        <f t="shared" si="11"/>
        <v>105.94372447669261</v>
      </c>
      <c r="Z47" s="147">
        <f t="shared" si="11"/>
        <v>106.79127427250614</v>
      </c>
      <c r="AA47" s="146" t="s">
        <v>126</v>
      </c>
    </row>
    <row r="48" spans="11:27" hidden="1" x14ac:dyDescent="0.3">
      <c r="P48" s="140"/>
      <c r="S48" s="148" t="s">
        <v>30</v>
      </c>
      <c r="T48" s="149">
        <f>SUM(T46:T47)</f>
        <v>259.81599999999997</v>
      </c>
      <c r="U48" s="149">
        <f>SUM(U46:U47)</f>
        <v>282.80566236907674</v>
      </c>
      <c r="V48" s="149">
        <f t="shared" ref="V48:Z48" si="12">SUM(V46:V47)</f>
        <v>303.24876827736421</v>
      </c>
      <c r="W48" s="149">
        <f t="shared" si="12"/>
        <v>303.85104382406001</v>
      </c>
      <c r="X48" s="149">
        <f t="shared" si="12"/>
        <v>299.62132928943777</v>
      </c>
      <c r="Y48" s="149">
        <f t="shared" si="12"/>
        <v>297.94066977847353</v>
      </c>
      <c r="Z48" s="149">
        <f t="shared" si="12"/>
        <v>299.86362706485136</v>
      </c>
      <c r="AA48" s="143"/>
    </row>
    <row r="49" spans="16:27" hidden="1" x14ac:dyDescent="0.3">
      <c r="P49" s="140"/>
      <c r="S49" s="150" t="s">
        <v>127</v>
      </c>
      <c r="T49" s="151">
        <f>AVERAGE(Q76:Q79)/100</f>
        <v>3.875E-2</v>
      </c>
      <c r="U49" s="151">
        <f>AVERAGE(Q80:Q81,W82:W83)/100</f>
        <v>4.8000000000000001E-2</v>
      </c>
      <c r="V49" s="151">
        <f>AVERAGE(W84:W87)/100</f>
        <v>5.9000000000000004E-2</v>
      </c>
      <c r="W49" s="151">
        <f>AVERAGE(W88:W91)/100</f>
        <v>5.6999999999999995E-2</v>
      </c>
      <c r="X49" s="151">
        <f>AVERAGE(W92:W95)/100</f>
        <v>4.9249999999999995E-2</v>
      </c>
      <c r="Y49" s="151">
        <f>AVERAGE(W96:W99)/100</f>
        <v>4.4500000000000005E-2</v>
      </c>
      <c r="Z49" s="151">
        <f>AVERAGE(W100:W103)/100</f>
        <v>4.4000000000000004E-2</v>
      </c>
      <c r="AA49" s="143"/>
    </row>
    <row r="50" spans="16:27" hidden="1" x14ac:dyDescent="0.3">
      <c r="P50" s="140"/>
      <c r="AA50" s="143"/>
    </row>
    <row r="51" spans="16:27" hidden="1" x14ac:dyDescent="0.3">
      <c r="P51" s="152"/>
      <c r="S51" s="153" t="s">
        <v>128</v>
      </c>
      <c r="T51" s="154">
        <f>(T47*1000)/T22</f>
        <v>5.7666155774404405E-2</v>
      </c>
      <c r="U51" s="155">
        <f>(U22*$T$52)/1000</f>
        <v>175.59733577909873</v>
      </c>
      <c r="V51" s="155"/>
      <c r="W51" s="156"/>
      <c r="X51" s="156"/>
      <c r="Y51" s="157"/>
      <c r="Z51" s="142"/>
      <c r="AA51" s="143"/>
    </row>
    <row r="52" spans="16:27" hidden="1" x14ac:dyDescent="0.3">
      <c r="P52" s="140"/>
      <c r="S52" s="153" t="s">
        <v>129</v>
      </c>
      <c r="T52" s="154">
        <f>(T46*1000)/T22</f>
        <v>0.10186565913128427</v>
      </c>
      <c r="U52">
        <v>183.4</v>
      </c>
      <c r="W52" s="145"/>
      <c r="AA52" s="143"/>
    </row>
    <row r="53" spans="16:27" hidden="1" x14ac:dyDescent="0.3">
      <c r="T53">
        <v>0</v>
      </c>
      <c r="U53" s="158">
        <f>U52-U51</f>
        <v>7.8026642209012778</v>
      </c>
      <c r="V53" s="158">
        <f>FORECAST(V49,$T$53:$U$53,$T$49:$U$49)</f>
        <v>17.081508159270371</v>
      </c>
      <c r="W53" s="158">
        <f t="shared" ref="W53:Z53" si="13">FORECAST(W49,$T$53:$U$53,$T$49:$U$49)</f>
        <v>15.39444562502144</v>
      </c>
      <c r="X53" s="158">
        <f t="shared" si="13"/>
        <v>8.8570783048068549</v>
      </c>
      <c r="Y53" s="158">
        <f t="shared" si="13"/>
        <v>4.8503047859656689</v>
      </c>
      <c r="Z53" s="158">
        <f t="shared" si="13"/>
        <v>4.4285391524034381</v>
      </c>
      <c r="AA53" s="143"/>
    </row>
    <row r="54" spans="16:27" hidden="1" x14ac:dyDescent="0.3">
      <c r="P54" s="159" t="s">
        <v>130</v>
      </c>
      <c r="Q54" s="160"/>
      <c r="R54" s="160"/>
      <c r="S54" s="160"/>
      <c r="T54" s="160"/>
      <c r="U54" s="160"/>
      <c r="V54" s="160"/>
      <c r="W54" s="160"/>
      <c r="X54" s="160"/>
      <c r="Y54" s="160"/>
      <c r="Z54" s="160"/>
      <c r="AA54" s="161"/>
    </row>
    <row r="55" spans="16:27" hidden="1" x14ac:dyDescent="0.3">
      <c r="S55" s="162"/>
    </row>
    <row r="57" spans="16:27" hidden="1" x14ac:dyDescent="0.3">
      <c r="P57" s="163" t="s">
        <v>131</v>
      </c>
    </row>
    <row r="58" spans="16:27" hidden="1" x14ac:dyDescent="0.3">
      <c r="Q58" t="s">
        <v>92</v>
      </c>
      <c r="R58" t="s">
        <v>132</v>
      </c>
      <c r="S58" t="s">
        <v>133</v>
      </c>
      <c r="T58" t="s">
        <v>134</v>
      </c>
      <c r="U58" t="s">
        <v>135</v>
      </c>
      <c r="V58" t="s">
        <v>136</v>
      </c>
      <c r="W58" t="s">
        <v>137</v>
      </c>
    </row>
    <row r="59" spans="16:27" hidden="1" x14ac:dyDescent="0.3">
      <c r="P59" t="s">
        <v>138</v>
      </c>
      <c r="Q59">
        <v>5.5</v>
      </c>
      <c r="S59">
        <v>5.5</v>
      </c>
      <c r="T59">
        <v>5.5</v>
      </c>
    </row>
    <row r="60" spans="16:27" hidden="1" x14ac:dyDescent="0.3">
      <c r="P60" t="s">
        <v>139</v>
      </c>
      <c r="Q60">
        <v>5.6</v>
      </c>
      <c r="S60">
        <v>5.6</v>
      </c>
      <c r="T60">
        <v>5.6</v>
      </c>
    </row>
    <row r="61" spans="16:27" hidden="1" x14ac:dyDescent="0.3">
      <c r="P61" t="s">
        <v>140</v>
      </c>
      <c r="Q61">
        <v>5.3</v>
      </c>
      <c r="S61">
        <v>5.3</v>
      </c>
      <c r="T61">
        <v>5.3</v>
      </c>
    </row>
    <row r="62" spans="16:27" hidden="1" x14ac:dyDescent="0.3">
      <c r="P62" t="s">
        <v>141</v>
      </c>
      <c r="Q62">
        <v>5.0999999999999996</v>
      </c>
      <c r="S62">
        <v>5.0999999999999996</v>
      </c>
      <c r="T62">
        <v>5.0999999999999996</v>
      </c>
    </row>
    <row r="63" spans="16:27" hidden="1" x14ac:dyDescent="0.3">
      <c r="P63" t="s">
        <v>142</v>
      </c>
      <c r="Q63">
        <v>5.0999999999999996</v>
      </c>
      <c r="S63">
        <v>5.0999999999999996</v>
      </c>
      <c r="T63">
        <v>5.0999999999999996</v>
      </c>
    </row>
    <row r="64" spans="16:27" hidden="1" x14ac:dyDescent="0.3">
      <c r="P64" t="s">
        <v>143</v>
      </c>
      <c r="Q64">
        <v>4.9000000000000004</v>
      </c>
      <c r="S64">
        <v>4.9000000000000004</v>
      </c>
      <c r="T64">
        <v>4.9000000000000004</v>
      </c>
    </row>
    <row r="65" spans="16:20" hidden="1" x14ac:dyDescent="0.3">
      <c r="P65" t="s">
        <v>144</v>
      </c>
      <c r="Q65">
        <v>4.8</v>
      </c>
      <c r="S65">
        <v>4.8</v>
      </c>
      <c r="T65">
        <v>4.8</v>
      </c>
    </row>
    <row r="66" spans="16:20" hidden="1" x14ac:dyDescent="0.3">
      <c r="P66" t="s">
        <v>145</v>
      </c>
      <c r="Q66">
        <v>4.7</v>
      </c>
      <c r="S66">
        <v>4.7</v>
      </c>
      <c r="T66">
        <v>4.7</v>
      </c>
    </row>
    <row r="67" spans="16:20" hidden="1" x14ac:dyDescent="0.3">
      <c r="P67" t="s">
        <v>146</v>
      </c>
      <c r="Q67">
        <v>4.5999999999999996</v>
      </c>
      <c r="S67">
        <v>4.5999999999999996</v>
      </c>
      <c r="T67">
        <v>4.5999999999999996</v>
      </c>
    </row>
    <row r="68" spans="16:20" hidden="1" x14ac:dyDescent="0.3">
      <c r="P68" t="s">
        <v>147</v>
      </c>
      <c r="Q68">
        <v>4.4000000000000004</v>
      </c>
      <c r="S68">
        <v>4.4000000000000004</v>
      </c>
      <c r="T68">
        <v>4.4000000000000004</v>
      </c>
    </row>
    <row r="69" spans="16:20" hidden="1" x14ac:dyDescent="0.3">
      <c r="P69" t="s">
        <v>148</v>
      </c>
      <c r="Q69">
        <v>4.3</v>
      </c>
      <c r="S69">
        <v>4.3</v>
      </c>
      <c r="T69">
        <v>4.3</v>
      </c>
    </row>
    <row r="70" spans="16:20" hidden="1" x14ac:dyDescent="0.3">
      <c r="P70" t="s">
        <v>149</v>
      </c>
      <c r="Q70">
        <v>4.4000000000000004</v>
      </c>
      <c r="S70">
        <v>4.4000000000000004</v>
      </c>
      <c r="T70">
        <v>4.4000000000000004</v>
      </c>
    </row>
    <row r="71" spans="16:20" hidden="1" x14ac:dyDescent="0.3">
      <c r="P71" t="s">
        <v>150</v>
      </c>
      <c r="Q71">
        <v>4.2</v>
      </c>
      <c r="S71">
        <v>4.2</v>
      </c>
      <c r="T71">
        <v>4.2</v>
      </c>
    </row>
    <row r="72" spans="16:20" hidden="1" x14ac:dyDescent="0.3">
      <c r="P72" t="s">
        <v>151</v>
      </c>
      <c r="Q72">
        <v>4</v>
      </c>
      <c r="S72">
        <v>4</v>
      </c>
      <c r="T72">
        <v>4</v>
      </c>
    </row>
    <row r="73" spans="16:20" hidden="1" x14ac:dyDescent="0.3">
      <c r="P73" t="s">
        <v>152</v>
      </c>
      <c r="Q73">
        <v>4.0999999999999996</v>
      </c>
      <c r="S73">
        <v>4.0999999999999996</v>
      </c>
      <c r="T73">
        <v>4.0999999999999996</v>
      </c>
    </row>
    <row r="74" spans="16:20" hidden="1" x14ac:dyDescent="0.3">
      <c r="P74" t="s">
        <v>153</v>
      </c>
      <c r="Q74">
        <v>4</v>
      </c>
      <c r="S74">
        <v>4</v>
      </c>
      <c r="T74">
        <v>4</v>
      </c>
    </row>
    <row r="75" spans="16:20" hidden="1" x14ac:dyDescent="0.3">
      <c r="P75" t="s">
        <v>154</v>
      </c>
      <c r="Q75">
        <v>3.8</v>
      </c>
      <c r="S75">
        <v>3.8</v>
      </c>
      <c r="T75">
        <v>3.8</v>
      </c>
    </row>
    <row r="76" spans="16:20" hidden="1" x14ac:dyDescent="0.3">
      <c r="P76" t="s">
        <v>155</v>
      </c>
      <c r="Q76">
        <v>3.9</v>
      </c>
      <c r="S76">
        <v>3.9</v>
      </c>
      <c r="T76">
        <v>3.9</v>
      </c>
    </row>
    <row r="77" spans="16:20" hidden="1" x14ac:dyDescent="0.3">
      <c r="P77" t="s">
        <v>156</v>
      </c>
      <c r="Q77">
        <v>3.8</v>
      </c>
      <c r="S77">
        <v>3.8</v>
      </c>
      <c r="T77">
        <v>3.8</v>
      </c>
    </row>
    <row r="78" spans="16:20" hidden="1" x14ac:dyDescent="0.3">
      <c r="P78" t="s">
        <v>157</v>
      </c>
      <c r="Q78">
        <v>3.8</v>
      </c>
      <c r="R78">
        <v>3.8</v>
      </c>
      <c r="S78">
        <v>3.8</v>
      </c>
      <c r="T78">
        <v>3.8</v>
      </c>
    </row>
    <row r="79" spans="16:20" hidden="1" x14ac:dyDescent="0.3">
      <c r="P79" t="s">
        <v>158</v>
      </c>
      <c r="Q79">
        <v>4</v>
      </c>
      <c r="R79">
        <v>3.8</v>
      </c>
      <c r="S79">
        <v>4</v>
      </c>
      <c r="T79">
        <v>4</v>
      </c>
    </row>
    <row r="80" spans="16:20" hidden="1" x14ac:dyDescent="0.3">
      <c r="P80" t="s">
        <v>159</v>
      </c>
      <c r="Q80">
        <v>4.0999999999999996</v>
      </c>
      <c r="R80">
        <v>3.8</v>
      </c>
      <c r="S80">
        <v>4.0999999999999996</v>
      </c>
      <c r="T80">
        <v>4.0999999999999996</v>
      </c>
    </row>
    <row r="81" spans="16:23" hidden="1" x14ac:dyDescent="0.3">
      <c r="P81" t="s">
        <v>160</v>
      </c>
      <c r="Q81">
        <v>4.8</v>
      </c>
      <c r="R81">
        <v>3.9</v>
      </c>
      <c r="S81">
        <v>4.8</v>
      </c>
      <c r="T81">
        <v>4.8</v>
      </c>
      <c r="U81">
        <v>4.8</v>
      </c>
      <c r="W81">
        <v>4.8</v>
      </c>
    </row>
    <row r="82" spans="16:23" hidden="1" x14ac:dyDescent="0.3">
      <c r="P82" t="s">
        <v>161</v>
      </c>
      <c r="R82">
        <v>3.9</v>
      </c>
      <c r="S82">
        <v>5.0999999999999996</v>
      </c>
      <c r="T82">
        <v>4.8</v>
      </c>
      <c r="U82">
        <v>4.8</v>
      </c>
      <c r="V82">
        <v>0.4</v>
      </c>
      <c r="W82">
        <v>5.0999999999999996</v>
      </c>
    </row>
    <row r="83" spans="16:23" hidden="1" x14ac:dyDescent="0.3">
      <c r="P83" t="s">
        <v>162</v>
      </c>
      <c r="R83">
        <v>3.8</v>
      </c>
      <c r="S83">
        <v>5.7</v>
      </c>
      <c r="T83">
        <v>4.8</v>
      </c>
      <c r="U83">
        <v>5.0999999999999996</v>
      </c>
      <c r="V83">
        <v>1</v>
      </c>
      <c r="W83">
        <v>5.2</v>
      </c>
    </row>
    <row r="84" spans="16:23" hidden="1" x14ac:dyDescent="0.3">
      <c r="P84" t="s">
        <v>163</v>
      </c>
      <c r="R84">
        <v>3.8</v>
      </c>
      <c r="S84">
        <v>8.6999999999999993</v>
      </c>
      <c r="T84">
        <v>5.0999999999999996</v>
      </c>
      <c r="U84">
        <v>7.5</v>
      </c>
      <c r="V84">
        <v>3.7</v>
      </c>
      <c r="W84">
        <v>5.2</v>
      </c>
    </row>
    <row r="85" spans="16:23" hidden="1" x14ac:dyDescent="0.3">
      <c r="P85" t="s">
        <v>164</v>
      </c>
      <c r="R85">
        <v>3.8</v>
      </c>
      <c r="S85">
        <v>9.3000000000000007</v>
      </c>
      <c r="T85">
        <v>4.7</v>
      </c>
      <c r="U85">
        <v>7.4</v>
      </c>
      <c r="V85">
        <v>4.5999999999999996</v>
      </c>
      <c r="W85">
        <v>5.6</v>
      </c>
    </row>
    <row r="86" spans="16:23" hidden="1" x14ac:dyDescent="0.3">
      <c r="P86" t="s">
        <v>165</v>
      </c>
      <c r="R86">
        <v>3.9</v>
      </c>
      <c r="S86">
        <v>10</v>
      </c>
      <c r="T86">
        <v>4.2</v>
      </c>
      <c r="U86">
        <v>7.2</v>
      </c>
      <c r="V86">
        <v>5.8</v>
      </c>
      <c r="W86">
        <v>6.5</v>
      </c>
    </row>
    <row r="87" spans="16:23" hidden="1" x14ac:dyDescent="0.3">
      <c r="P87" t="s">
        <v>166</v>
      </c>
      <c r="R87">
        <v>3.9</v>
      </c>
      <c r="S87">
        <v>11</v>
      </c>
      <c r="T87">
        <v>3.9</v>
      </c>
      <c r="U87">
        <v>7</v>
      </c>
      <c r="V87">
        <v>7.1</v>
      </c>
      <c r="W87">
        <v>6.3</v>
      </c>
    </row>
    <row r="88" spans="16:23" hidden="1" x14ac:dyDescent="0.3">
      <c r="P88" t="s">
        <v>167</v>
      </c>
      <c r="R88">
        <v>3.9</v>
      </c>
      <c r="S88">
        <v>10.9</v>
      </c>
      <c r="T88">
        <v>3.9</v>
      </c>
      <c r="U88">
        <v>6.7</v>
      </c>
      <c r="V88">
        <v>7</v>
      </c>
      <c r="W88">
        <v>6</v>
      </c>
    </row>
    <row r="89" spans="16:23" hidden="1" x14ac:dyDescent="0.3">
      <c r="P89" t="s">
        <v>168</v>
      </c>
      <c r="R89">
        <v>3.9</v>
      </c>
      <c r="S89">
        <v>10</v>
      </c>
      <c r="T89">
        <v>3.9</v>
      </c>
      <c r="U89">
        <v>6.3</v>
      </c>
      <c r="V89">
        <v>6.1</v>
      </c>
      <c r="W89">
        <v>5.8</v>
      </c>
    </row>
    <row r="90" spans="16:23" hidden="1" x14ac:dyDescent="0.3">
      <c r="P90" t="s">
        <v>169</v>
      </c>
      <c r="R90">
        <v>3.9</v>
      </c>
      <c r="S90">
        <v>9.6999999999999993</v>
      </c>
      <c r="T90">
        <v>3.9</v>
      </c>
      <c r="U90">
        <v>6.1</v>
      </c>
      <c r="V90">
        <v>5.7</v>
      </c>
      <c r="W90">
        <v>5.6</v>
      </c>
    </row>
    <row r="91" spans="16:23" hidden="1" x14ac:dyDescent="0.3">
      <c r="P91" t="s">
        <v>170</v>
      </c>
      <c r="R91">
        <v>4</v>
      </c>
      <c r="S91">
        <v>9</v>
      </c>
      <c r="T91">
        <v>4</v>
      </c>
      <c r="U91">
        <v>5.8</v>
      </c>
      <c r="V91">
        <v>5</v>
      </c>
      <c r="W91">
        <v>5.4</v>
      </c>
    </row>
    <row r="92" spans="16:23" hidden="1" x14ac:dyDescent="0.3">
      <c r="P92" t="s">
        <v>171</v>
      </c>
      <c r="R92">
        <v>4</v>
      </c>
      <c r="S92">
        <v>8.3000000000000007</v>
      </c>
      <c r="T92">
        <v>4</v>
      </c>
      <c r="U92">
        <v>5.5</v>
      </c>
      <c r="V92">
        <v>4.3</v>
      </c>
      <c r="W92">
        <v>5.2</v>
      </c>
    </row>
    <row r="93" spans="16:23" hidden="1" x14ac:dyDescent="0.3">
      <c r="P93" t="s">
        <v>172</v>
      </c>
      <c r="R93">
        <v>4</v>
      </c>
      <c r="S93">
        <v>7.6</v>
      </c>
      <c r="T93">
        <v>4</v>
      </c>
      <c r="U93">
        <v>5.3</v>
      </c>
      <c r="V93">
        <v>3.5</v>
      </c>
      <c r="W93">
        <v>5</v>
      </c>
    </row>
    <row r="94" spans="16:23" hidden="1" x14ac:dyDescent="0.3">
      <c r="P94" t="s">
        <v>173</v>
      </c>
      <c r="R94">
        <v>4.0999999999999996</v>
      </c>
      <c r="S94">
        <v>6.9</v>
      </c>
      <c r="T94">
        <v>4.0999999999999996</v>
      </c>
      <c r="U94">
        <v>5</v>
      </c>
      <c r="V94">
        <v>2.8</v>
      </c>
      <c r="W94">
        <v>4.8</v>
      </c>
    </row>
    <row r="95" spans="16:23" hidden="1" x14ac:dyDescent="0.3">
      <c r="P95" t="s">
        <v>174</v>
      </c>
      <c r="R95">
        <v>4.0999999999999996</v>
      </c>
      <c r="S95">
        <v>6.1</v>
      </c>
      <c r="T95">
        <v>4.0999999999999996</v>
      </c>
      <c r="U95">
        <v>4.7</v>
      </c>
      <c r="V95">
        <v>2</v>
      </c>
      <c r="W95">
        <v>4.7</v>
      </c>
    </row>
    <row r="96" spans="16:23" hidden="1" x14ac:dyDescent="0.3">
      <c r="P96" t="s">
        <v>175</v>
      </c>
      <c r="R96">
        <v>4.0999999999999996</v>
      </c>
      <c r="S96">
        <v>5.8</v>
      </c>
      <c r="T96">
        <v>4.0999999999999996</v>
      </c>
      <c r="U96">
        <v>4.5999999999999996</v>
      </c>
      <c r="V96">
        <v>1.6</v>
      </c>
      <c r="W96">
        <v>4.5</v>
      </c>
    </row>
    <row r="97" spans="16:26" hidden="1" x14ac:dyDescent="0.3">
      <c r="P97" t="s">
        <v>176</v>
      </c>
      <c r="R97">
        <v>4.0999999999999996</v>
      </c>
      <c r="S97">
        <v>5.5</v>
      </c>
      <c r="T97">
        <v>4.0999999999999996</v>
      </c>
      <c r="U97">
        <v>4.5</v>
      </c>
      <c r="V97">
        <v>1.3</v>
      </c>
      <c r="W97">
        <v>4.5</v>
      </c>
    </row>
    <row r="98" spans="16:26" hidden="1" x14ac:dyDescent="0.3">
      <c r="P98" t="s">
        <v>177</v>
      </c>
      <c r="R98">
        <v>4.0999999999999996</v>
      </c>
      <c r="S98">
        <v>5.3</v>
      </c>
      <c r="T98">
        <v>4.0999999999999996</v>
      </c>
      <c r="U98">
        <v>4.4000000000000004</v>
      </c>
      <c r="V98">
        <v>1.1000000000000001</v>
      </c>
      <c r="W98">
        <v>4.4000000000000004</v>
      </c>
    </row>
    <row r="99" spans="16:26" hidden="1" x14ac:dyDescent="0.3">
      <c r="P99" t="s">
        <v>178</v>
      </c>
      <c r="R99">
        <v>4.0999999999999996</v>
      </c>
      <c r="S99">
        <v>5.2</v>
      </c>
      <c r="T99">
        <v>4.0999999999999996</v>
      </c>
      <c r="U99">
        <v>4.4000000000000004</v>
      </c>
      <c r="V99">
        <v>1.1000000000000001</v>
      </c>
      <c r="W99">
        <v>4.4000000000000004</v>
      </c>
    </row>
    <row r="100" spans="16:26" hidden="1" x14ac:dyDescent="0.3">
      <c r="P100" t="s">
        <v>179</v>
      </c>
      <c r="S100">
        <v>5.2</v>
      </c>
      <c r="T100">
        <v>4.0999999999999996</v>
      </c>
      <c r="U100">
        <v>4.4000000000000004</v>
      </c>
      <c r="V100">
        <v>1.1000000000000001</v>
      </c>
      <c r="W100">
        <v>4.4000000000000004</v>
      </c>
    </row>
    <row r="101" spans="16:26" hidden="1" x14ac:dyDescent="0.3">
      <c r="P101" t="s">
        <v>180</v>
      </c>
      <c r="S101">
        <v>5.2</v>
      </c>
      <c r="T101">
        <v>4.0999999999999996</v>
      </c>
      <c r="U101">
        <v>4.4000000000000004</v>
      </c>
      <c r="V101">
        <v>1.1000000000000001</v>
      </c>
      <c r="W101">
        <v>4.4000000000000004</v>
      </c>
    </row>
    <row r="102" spans="16:26" hidden="1" x14ac:dyDescent="0.3">
      <c r="P102" t="s">
        <v>181</v>
      </c>
      <c r="S102">
        <v>5.2</v>
      </c>
      <c r="T102">
        <v>4.0999999999999996</v>
      </c>
      <c r="U102">
        <v>4.4000000000000004</v>
      </c>
      <c r="V102">
        <v>1.1000000000000001</v>
      </c>
      <c r="W102">
        <v>4.4000000000000004</v>
      </c>
    </row>
    <row r="103" spans="16:26" hidden="1" x14ac:dyDescent="0.3">
      <c r="P103" t="s">
        <v>182</v>
      </c>
      <c r="S103">
        <v>5.2</v>
      </c>
      <c r="T103">
        <v>4.0999999999999996</v>
      </c>
      <c r="U103">
        <v>4.4000000000000004</v>
      </c>
      <c r="V103">
        <v>1.1000000000000001</v>
      </c>
      <c r="W103">
        <v>4.4000000000000004</v>
      </c>
    </row>
    <row r="108" spans="16:26" hidden="1" x14ac:dyDescent="0.3">
      <c r="T108" s="164">
        <f>T22</f>
        <v>1628615.5846317981</v>
      </c>
      <c r="U108" s="164">
        <f t="shared" ref="U108:Z108" si="14">U22</f>
        <v>1723812.8852903137</v>
      </c>
      <c r="V108" s="164">
        <f t="shared" si="14"/>
        <v>1793794.2991952354</v>
      </c>
      <c r="W108" s="164">
        <f t="shared" si="14"/>
        <v>1808144.6535887972</v>
      </c>
      <c r="X108" s="164">
        <f t="shared" si="14"/>
        <v>1822609.8108175076</v>
      </c>
      <c r="Y108" s="164">
        <f t="shared" si="14"/>
        <v>1837190.6893040475</v>
      </c>
      <c r="Z108" s="164">
        <f t="shared" si="14"/>
        <v>1851888.2148184797</v>
      </c>
    </row>
    <row r="109" spans="16:26" hidden="1" x14ac:dyDescent="0.3">
      <c r="T109" s="165">
        <f>T24</f>
        <v>-259816</v>
      </c>
      <c r="U109" s="165">
        <f t="shared" ref="U109:Z109" si="15">U24</f>
        <v>-282805.66236907674</v>
      </c>
      <c r="V109" s="165">
        <f t="shared" si="15"/>
        <v>-303248.7682773642</v>
      </c>
      <c r="W109" s="165">
        <f t="shared" si="15"/>
        <v>-303851.04382406001</v>
      </c>
      <c r="X109" s="165">
        <f t="shared" si="15"/>
        <v>-299621.3292894378</v>
      </c>
      <c r="Y109" s="165">
        <f t="shared" si="15"/>
        <v>-297940.66977847356</v>
      </c>
      <c r="Z109" s="165">
        <f t="shared" si="15"/>
        <v>-299863.62706485135</v>
      </c>
    </row>
    <row r="110" spans="16:26" hidden="1" x14ac:dyDescent="0.3">
      <c r="T110" s="166">
        <f>T13</f>
        <v>1342792.392523794</v>
      </c>
      <c r="U110" s="166">
        <f t="shared" ref="U110:Z110" si="16">U13</f>
        <v>1441007.2229212369</v>
      </c>
      <c r="V110" s="166">
        <f t="shared" si="16"/>
        <v>1490545.5309178713</v>
      </c>
      <c r="W110" s="166">
        <f t="shared" si="16"/>
        <v>1504293.6097647371</v>
      </c>
      <c r="X110" s="166">
        <f t="shared" si="16"/>
        <v>1522988.4815280698</v>
      </c>
      <c r="Y110" s="166">
        <f t="shared" si="16"/>
        <v>1539250.0195255741</v>
      </c>
      <c r="Z110" s="166">
        <f t="shared" si="16"/>
        <v>1552024.5877536284</v>
      </c>
    </row>
    <row r="111" spans="16:26" hidden="1" x14ac:dyDescent="0.3">
      <c r="T111" s="164">
        <f>T13</f>
        <v>1342792.392523794</v>
      </c>
      <c r="U111" s="164">
        <f t="shared" ref="U111:Z111" si="17">U13</f>
        <v>1441007.2229212369</v>
      </c>
      <c r="V111" s="164">
        <f t="shared" si="17"/>
        <v>1490545.5309178713</v>
      </c>
      <c r="W111" s="164">
        <f t="shared" si="17"/>
        <v>1504293.6097647371</v>
      </c>
      <c r="X111" s="164">
        <f t="shared" si="17"/>
        <v>1522988.4815280698</v>
      </c>
      <c r="Y111" s="164">
        <f t="shared" si="17"/>
        <v>1539250.0195255741</v>
      </c>
      <c r="Z111" s="164">
        <f t="shared" si="17"/>
        <v>1552024.5877536284</v>
      </c>
    </row>
    <row r="117" spans="20:26" hidden="1" x14ac:dyDescent="0.3">
      <c r="T117" s="164">
        <v>0</v>
      </c>
      <c r="U117" s="164">
        <f t="shared" ref="U117:Z120" si="18">U108/1000</f>
        <v>1723.8128852903137</v>
      </c>
      <c r="V117" s="164">
        <f t="shared" si="18"/>
        <v>1793.7942991952355</v>
      </c>
      <c r="W117" s="164">
        <f t="shared" si="18"/>
        <v>1808.1446535887972</v>
      </c>
      <c r="X117" s="164">
        <f t="shared" si="18"/>
        <v>1822.6098108175077</v>
      </c>
      <c r="Y117" s="164">
        <f t="shared" si="18"/>
        <v>1837.1906893040475</v>
      </c>
      <c r="Z117" s="164">
        <f t="shared" si="18"/>
        <v>1851.8882148184798</v>
      </c>
    </row>
    <row r="118" spans="20:26" hidden="1" x14ac:dyDescent="0.3">
      <c r="T118" s="164">
        <v>0</v>
      </c>
      <c r="U118" s="164">
        <f t="shared" si="18"/>
        <v>-282.80566236907674</v>
      </c>
      <c r="V118" s="164">
        <f t="shared" si="18"/>
        <v>-303.24876827736421</v>
      </c>
      <c r="W118" s="164">
        <f t="shared" si="18"/>
        <v>-303.85104382406001</v>
      </c>
      <c r="X118" s="164">
        <f t="shared" si="18"/>
        <v>-299.62132928943777</v>
      </c>
      <c r="Y118" s="164">
        <f t="shared" si="18"/>
        <v>-297.94066977847353</v>
      </c>
      <c r="Z118" s="164">
        <f t="shared" si="18"/>
        <v>-299.86362706485136</v>
      </c>
    </row>
    <row r="119" spans="20:26" hidden="1" x14ac:dyDescent="0.3">
      <c r="T119" s="166">
        <f>T117+T118</f>
        <v>0</v>
      </c>
      <c r="U119" s="166">
        <f t="shared" si="18"/>
        <v>1441.0072229212369</v>
      </c>
      <c r="V119" s="166">
        <f t="shared" si="18"/>
        <v>1490.5455309178712</v>
      </c>
      <c r="W119" s="166">
        <f t="shared" si="18"/>
        <v>1504.2936097647371</v>
      </c>
      <c r="X119" s="166">
        <f t="shared" si="18"/>
        <v>1522.9884815280698</v>
      </c>
      <c r="Y119" s="166">
        <f t="shared" si="18"/>
        <v>1539.2500195255741</v>
      </c>
      <c r="Z119" s="166">
        <f t="shared" si="18"/>
        <v>1552.0245877536283</v>
      </c>
    </row>
    <row r="120" spans="20:26" hidden="1" x14ac:dyDescent="0.3">
      <c r="T120" s="164"/>
      <c r="U120" s="164">
        <f t="shared" si="18"/>
        <v>1441.0072229212369</v>
      </c>
      <c r="V120" s="164">
        <f t="shared" si="18"/>
        <v>1490.5455309178712</v>
      </c>
      <c r="W120" s="164">
        <f t="shared" si="18"/>
        <v>1504.2936097647371</v>
      </c>
      <c r="X120" s="164">
        <f t="shared" si="18"/>
        <v>1522.9884815280698</v>
      </c>
      <c r="Y120" s="164">
        <f t="shared" si="18"/>
        <v>1539.2500195255741</v>
      </c>
      <c r="Z120" s="164">
        <f t="shared" si="18"/>
        <v>1552.0245877536283</v>
      </c>
    </row>
    <row r="121" spans="20:26" hidden="1" x14ac:dyDescent="0.3">
      <c r="U121" s="164">
        <f>U120-T120</f>
        <v>1441.0072229212369</v>
      </c>
      <c r="V121" s="164">
        <f t="shared" ref="V121:Z121" si="19">V120-U120</f>
        <v>49.53830799663433</v>
      </c>
      <c r="W121" s="164">
        <f t="shared" si="19"/>
        <v>13.748078846865837</v>
      </c>
      <c r="X121" s="164">
        <f t="shared" si="19"/>
        <v>18.694871763332685</v>
      </c>
      <c r="Y121" s="164">
        <f t="shared" si="19"/>
        <v>16.26153799750432</v>
      </c>
      <c r="Z121" s="164">
        <f t="shared" si="19"/>
        <v>12.77456822805425</v>
      </c>
    </row>
    <row r="122" spans="20:26" hidden="1" x14ac:dyDescent="0.3">
      <c r="U122" s="135" t="e">
        <f>U121/T120</f>
        <v>#DIV/0!</v>
      </c>
      <c r="V122" s="135">
        <f t="shared" ref="V122:Z122" si="20">V121/U120</f>
        <v>3.4377557036951792E-2</v>
      </c>
      <c r="W122" s="135">
        <f t="shared" si="20"/>
        <v>9.2235215642153725E-3</v>
      </c>
      <c r="X122" s="135">
        <f t="shared" si="20"/>
        <v>1.2427674785015178E-2</v>
      </c>
      <c r="Y122" s="135">
        <f t="shared" si="20"/>
        <v>1.067738738325094E-2</v>
      </c>
      <c r="Z122" s="135">
        <f t="shared" si="20"/>
        <v>8.2992158947586773E-3</v>
      </c>
    </row>
  </sheetData>
  <mergeCells count="10">
    <mergeCell ref="M40:X40"/>
    <mergeCell ref="P46:S46"/>
    <mergeCell ref="P47:S47"/>
    <mergeCell ref="A1:B1"/>
    <mergeCell ref="T8:T10"/>
    <mergeCell ref="U9:U10"/>
    <mergeCell ref="M36:X36"/>
    <mergeCell ref="M37:X37"/>
    <mergeCell ref="M38:X38"/>
    <mergeCell ref="M39:X39"/>
  </mergeCells>
  <hyperlinks>
    <hyperlink ref="A1" location="Contents!A1" display="Back to contents" xr:uid="{154AE25B-AFAD-439C-B8B7-D32392CC348E}"/>
    <hyperlink ref="P54" r:id="rId1" xr:uid="{7ECA5870-4527-4E2D-9688-E1159A9867A0}"/>
  </hyperlinks>
  <pageMargins left="0.7" right="0.7" top="0.75" bottom="0.75" header="0.3" footer="0.3"/>
  <pageSetup paperSize="9" scale="61"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BC2BB-6A2E-4271-8533-0CD5CD63A51F}">
  <sheetPr>
    <tabColor theme="0"/>
    <pageSetUpPr fitToPage="1"/>
  </sheetPr>
  <dimension ref="A1:K136"/>
  <sheetViews>
    <sheetView zoomScaleNormal="100" workbookViewId="0">
      <selection activeCell="I13" sqref="I13"/>
    </sheetView>
  </sheetViews>
  <sheetFormatPr defaultColWidth="0" defaultRowHeight="14.4" zeroHeight="1" x14ac:dyDescent="0.3"/>
  <cols>
    <col min="1" max="1" width="9.5546875" style="2" customWidth="1"/>
    <col min="2" max="2" width="47.88671875" style="2" bestFit="1" customWidth="1"/>
    <col min="3" max="9" width="10.77734375" style="2" customWidth="1"/>
    <col min="10" max="10" width="9.5546875" style="2" bestFit="1" customWidth="1"/>
  </cols>
  <sheetData>
    <row r="1" spans="1:11" x14ac:dyDescent="0.3">
      <c r="A1" s="186" t="s">
        <v>9</v>
      </c>
      <c r="B1" s="186"/>
      <c r="C1" s="1"/>
      <c r="D1" s="173"/>
      <c r="E1" s="173"/>
      <c r="F1" s="173"/>
      <c r="G1" s="173"/>
      <c r="H1" s="173"/>
      <c r="I1" s="173"/>
      <c r="J1" s="1"/>
      <c r="K1" s="13"/>
    </row>
    <row r="2" spans="1:11" x14ac:dyDescent="0.3">
      <c r="A2" s="1"/>
      <c r="B2" s="1"/>
      <c r="C2" s="1"/>
      <c r="D2" s="172"/>
      <c r="E2" s="1"/>
      <c r="F2" s="1"/>
      <c r="G2" s="1"/>
      <c r="H2" s="1"/>
      <c r="I2" s="1"/>
      <c r="J2" s="1"/>
      <c r="K2" s="13"/>
    </row>
    <row r="3" spans="1:11" ht="15.6" x14ac:dyDescent="0.3">
      <c r="A3" s="49">
        <v>2.1</v>
      </c>
      <c r="B3" s="18" t="s">
        <v>45</v>
      </c>
      <c r="C3" s="1"/>
      <c r="J3" s="1"/>
      <c r="K3" s="13"/>
    </row>
    <row r="4" spans="1:11" ht="15.6" x14ac:dyDescent="0.3">
      <c r="A4" s="18"/>
      <c r="B4" s="18"/>
      <c r="C4" s="1"/>
      <c r="J4" s="1"/>
      <c r="K4" s="13"/>
    </row>
    <row r="5" spans="1:11" ht="15.6" x14ac:dyDescent="0.3">
      <c r="A5" s="18"/>
      <c r="B5" s="18"/>
      <c r="C5" s="1"/>
      <c r="D5" s="1"/>
      <c r="E5" s="1"/>
      <c r="F5" s="1"/>
      <c r="G5" s="1"/>
      <c r="H5" s="1"/>
      <c r="I5" s="69" t="s">
        <v>78</v>
      </c>
      <c r="J5" s="1"/>
      <c r="K5" s="13"/>
    </row>
    <row r="6" spans="1:11" ht="30.6" customHeight="1" x14ac:dyDescent="0.3">
      <c r="A6" s="18"/>
      <c r="B6" s="47" t="s">
        <v>38</v>
      </c>
      <c r="C6" s="48" t="s">
        <v>10</v>
      </c>
      <c r="D6" s="48" t="s">
        <v>11</v>
      </c>
      <c r="E6" s="48" t="s">
        <v>12</v>
      </c>
      <c r="F6" s="48" t="s">
        <v>13</v>
      </c>
      <c r="G6" s="48" t="s">
        <v>14</v>
      </c>
      <c r="H6" s="48" t="s">
        <v>15</v>
      </c>
      <c r="I6" s="48" t="s">
        <v>16</v>
      </c>
      <c r="J6" s="1"/>
      <c r="K6" s="13"/>
    </row>
    <row r="7" spans="1:11" ht="7.05" customHeight="1" x14ac:dyDescent="0.3">
      <c r="A7" s="18"/>
      <c r="B7" s="8"/>
      <c r="C7" s="4"/>
      <c r="D7" s="4"/>
      <c r="E7" s="4"/>
      <c r="F7" s="4"/>
      <c r="G7" s="4"/>
      <c r="H7" s="4"/>
      <c r="I7" s="4"/>
      <c r="J7" s="1"/>
      <c r="K7" s="13"/>
    </row>
    <row r="8" spans="1:11" ht="14.4" customHeight="1" x14ac:dyDescent="0.3">
      <c r="A8" s="18"/>
      <c r="B8" s="8" t="s">
        <v>44</v>
      </c>
      <c r="C8" s="4"/>
      <c r="D8" s="4"/>
      <c r="E8" s="4"/>
      <c r="F8" s="4"/>
      <c r="G8" s="4"/>
      <c r="H8" s="4"/>
      <c r="I8" s="4"/>
      <c r="J8" s="1"/>
      <c r="K8" s="13"/>
    </row>
    <row r="9" spans="1:11" ht="14.4" customHeight="1" x14ac:dyDescent="0.3">
      <c r="A9" s="18"/>
      <c r="B9" s="19" t="s">
        <v>33</v>
      </c>
      <c r="C9" s="58">
        <v>2989.0540573761673</v>
      </c>
      <c r="D9" s="58">
        <f>$C9+D17</f>
        <v>3062.8862545038842</v>
      </c>
      <c r="E9" s="58">
        <f t="shared" ref="E9:I9" si="0">$C9+E17</f>
        <v>3091.5930715684685</v>
      </c>
      <c r="F9" s="58">
        <f t="shared" si="0"/>
        <v>3116.3217071709801</v>
      </c>
      <c r="G9" s="58">
        <f t="shared" si="0"/>
        <v>3141.603611634705</v>
      </c>
      <c r="H9" s="58">
        <f t="shared" si="0"/>
        <v>3165.3866637671681</v>
      </c>
      <c r="I9" s="58">
        <f t="shared" si="0"/>
        <v>3185.7670472505251</v>
      </c>
      <c r="J9" s="1"/>
      <c r="K9" s="13"/>
    </row>
    <row r="10" spans="1:11" ht="14.4" customHeight="1" x14ac:dyDescent="0.3">
      <c r="A10" s="18"/>
      <c r="B10" s="19" t="s">
        <v>23</v>
      </c>
      <c r="C10" s="58">
        <v>2422.7988862133652</v>
      </c>
      <c r="D10" s="58">
        <f t="shared" ref="D10:I10" si="1">$C10+D18</f>
        <v>2548.0482793120627</v>
      </c>
      <c r="E10" s="58">
        <f t="shared" si="1"/>
        <v>2613.2568232639492</v>
      </c>
      <c r="F10" s="58">
        <f t="shared" si="1"/>
        <v>2715.5844456527316</v>
      </c>
      <c r="G10" s="58">
        <f t="shared" si="1"/>
        <v>2826.0694129786903</v>
      </c>
      <c r="H10" s="58">
        <f t="shared" si="1"/>
        <v>2939.9542324204353</v>
      </c>
      <c r="I10" s="58">
        <f t="shared" si="1"/>
        <v>3057.4021343838413</v>
      </c>
      <c r="J10" s="1"/>
      <c r="K10" s="13"/>
    </row>
    <row r="11" spans="1:11" ht="14.4" customHeight="1" x14ac:dyDescent="0.3">
      <c r="A11" s="18"/>
      <c r="B11" s="19" t="s">
        <v>37</v>
      </c>
      <c r="C11" s="58">
        <v>2007.3773204419194</v>
      </c>
      <c r="D11" s="58">
        <f t="shared" ref="D11:I11" si="2">$C11+D19</f>
        <v>2072.1905118011127</v>
      </c>
      <c r="E11" s="58">
        <f t="shared" si="2"/>
        <v>2105.5682080621773</v>
      </c>
      <c r="F11" s="58">
        <f t="shared" si="2"/>
        <v>2162.6586607717163</v>
      </c>
      <c r="G11" s="58">
        <f t="shared" si="2"/>
        <v>2221.8690261659804</v>
      </c>
      <c r="H11" s="58">
        <f t="shared" si="2"/>
        <v>2280.8656429646708</v>
      </c>
      <c r="I11" s="58">
        <f t="shared" si="2"/>
        <v>2340.2708533655559</v>
      </c>
      <c r="J11" s="1"/>
      <c r="K11" s="13"/>
    </row>
    <row r="12" spans="1:11" ht="14.4" customHeight="1" x14ac:dyDescent="0.3">
      <c r="A12" s="18"/>
      <c r="B12" s="19" t="s">
        <v>41</v>
      </c>
      <c r="C12" s="58">
        <f>C20</f>
        <v>0</v>
      </c>
      <c r="D12" s="58">
        <f t="shared" ref="D12:I12" si="3">D20</f>
        <v>0</v>
      </c>
      <c r="E12" s="58">
        <f t="shared" si="3"/>
        <v>0</v>
      </c>
      <c r="F12" s="58">
        <f t="shared" si="3"/>
        <v>0</v>
      </c>
      <c r="G12" s="58">
        <f t="shared" si="3"/>
        <v>0</v>
      </c>
      <c r="H12" s="58">
        <f t="shared" si="3"/>
        <v>0</v>
      </c>
      <c r="I12" s="58">
        <f t="shared" si="3"/>
        <v>0</v>
      </c>
      <c r="J12" s="1"/>
      <c r="K12" s="13"/>
    </row>
    <row r="13" spans="1:11" ht="14.4" customHeight="1" x14ac:dyDescent="0.3">
      <c r="A13" s="18"/>
      <c r="B13" s="21" t="s">
        <v>42</v>
      </c>
      <c r="C13" s="59">
        <f>SUM(C9:C12)</f>
        <v>7419.230264031452</v>
      </c>
      <c r="D13" s="59">
        <f t="shared" ref="D13:I13" si="4">SUM(D9:D12)</f>
        <v>7683.1250456170601</v>
      </c>
      <c r="E13" s="59">
        <f t="shared" si="4"/>
        <v>7810.418102894595</v>
      </c>
      <c r="F13" s="59">
        <f t="shared" si="4"/>
        <v>7994.5648135954279</v>
      </c>
      <c r="G13" s="59">
        <f t="shared" si="4"/>
        <v>8189.542050779376</v>
      </c>
      <c r="H13" s="59">
        <f t="shared" si="4"/>
        <v>8386.2065391522738</v>
      </c>
      <c r="I13" s="59">
        <f t="shared" si="4"/>
        <v>8583.4400349999232</v>
      </c>
      <c r="J13" s="1"/>
      <c r="K13" s="13"/>
    </row>
    <row r="14" spans="1:11" ht="14.4" customHeight="1" x14ac:dyDescent="0.3">
      <c r="A14" s="18"/>
      <c r="B14" s="21"/>
      <c r="C14" s="4"/>
      <c r="D14" s="4"/>
      <c r="E14" s="4"/>
      <c r="F14" s="4"/>
      <c r="G14" s="4"/>
      <c r="H14" s="4"/>
      <c r="I14" s="4"/>
      <c r="J14" s="1"/>
      <c r="K14" s="13"/>
    </row>
    <row r="15" spans="1:11" ht="7.05" customHeight="1" x14ac:dyDescent="0.3">
      <c r="A15" s="18"/>
      <c r="B15" s="57"/>
      <c r="C15" s="56"/>
      <c r="D15" s="56"/>
      <c r="E15" s="56"/>
      <c r="F15" s="56"/>
      <c r="G15" s="56"/>
      <c r="H15" s="56"/>
      <c r="I15" s="56"/>
      <c r="J15" s="1"/>
      <c r="K15" s="13"/>
    </row>
    <row r="16" spans="1:11" ht="14.4" customHeight="1" x14ac:dyDescent="0.3">
      <c r="A16" s="18"/>
      <c r="B16" s="22" t="s">
        <v>28</v>
      </c>
      <c r="C16" s="44"/>
      <c r="D16" s="44"/>
      <c r="E16" s="44"/>
      <c r="F16" s="44"/>
      <c r="G16" s="44"/>
      <c r="H16" s="44"/>
      <c r="I16" s="44"/>
      <c r="J16" s="1"/>
      <c r="K16" s="13"/>
    </row>
    <row r="17" spans="1:11" ht="14.4" customHeight="1" x14ac:dyDescent="0.3">
      <c r="A17" s="18"/>
      <c r="B17" s="15" t="s">
        <v>33</v>
      </c>
      <c r="C17" s="45">
        <v>0</v>
      </c>
      <c r="D17" s="45">
        <f>D51</f>
        <v>73.832197127716768</v>
      </c>
      <c r="E17" s="45">
        <f t="shared" ref="E17:I17" si="5">E51</f>
        <v>102.53901419230112</v>
      </c>
      <c r="F17" s="45">
        <f t="shared" si="5"/>
        <v>127.26764979481277</v>
      </c>
      <c r="G17" s="45">
        <f t="shared" si="5"/>
        <v>152.54955425853768</v>
      </c>
      <c r="H17" s="45">
        <f t="shared" si="5"/>
        <v>176.33260639100104</v>
      </c>
      <c r="I17" s="45">
        <f t="shared" si="5"/>
        <v>196.71298987435807</v>
      </c>
      <c r="J17" s="1"/>
      <c r="K17" s="13"/>
    </row>
    <row r="18" spans="1:11" ht="14.4" customHeight="1" x14ac:dyDescent="0.3">
      <c r="A18" s="18"/>
      <c r="B18" s="15" t="s">
        <v>23</v>
      </c>
      <c r="C18" s="45">
        <v>0</v>
      </c>
      <c r="D18" s="45">
        <f>D82</f>
        <v>125.24939309869751</v>
      </c>
      <c r="E18" s="45">
        <f t="shared" ref="E18:I18" si="6">E82</f>
        <v>190.45793705058395</v>
      </c>
      <c r="F18" s="45">
        <f t="shared" si="6"/>
        <v>292.78555943936647</v>
      </c>
      <c r="G18" s="45">
        <f t="shared" si="6"/>
        <v>403.27052676532514</v>
      </c>
      <c r="H18" s="45">
        <f t="shared" si="6"/>
        <v>517.15534620707001</v>
      </c>
      <c r="I18" s="45">
        <f t="shared" si="6"/>
        <v>634.60324817047626</v>
      </c>
      <c r="J18" s="1"/>
      <c r="K18" s="13"/>
    </row>
    <row r="19" spans="1:11" ht="14.4" customHeight="1" x14ac:dyDescent="0.3">
      <c r="A19" s="18"/>
      <c r="B19" s="15" t="s">
        <v>39</v>
      </c>
      <c r="C19" s="45">
        <v>0</v>
      </c>
      <c r="D19" s="45">
        <f>D107</f>
        <v>64.813191359193411</v>
      </c>
      <c r="E19" s="45">
        <f t="shared" ref="E19:I19" si="7">E107</f>
        <v>98.190887620257854</v>
      </c>
      <c r="F19" s="45">
        <f t="shared" si="7"/>
        <v>155.28134032979688</v>
      </c>
      <c r="G19" s="45">
        <f t="shared" si="7"/>
        <v>214.49170572406092</v>
      </c>
      <c r="H19" s="45">
        <f t="shared" si="7"/>
        <v>273.48832252275156</v>
      </c>
      <c r="I19" s="45">
        <f t="shared" si="7"/>
        <v>332.89353292363649</v>
      </c>
      <c r="J19" s="1"/>
      <c r="K19" s="13"/>
    </row>
    <row r="20" spans="1:11" ht="14.4" customHeight="1" x14ac:dyDescent="0.3">
      <c r="A20" s="18"/>
      <c r="B20" s="15" t="s">
        <v>40</v>
      </c>
      <c r="C20" s="45">
        <v>0</v>
      </c>
      <c r="D20" s="45">
        <f>D131</f>
        <v>0</v>
      </c>
      <c r="E20" s="45">
        <f t="shared" ref="E20:I20" si="8">E131</f>
        <v>0</v>
      </c>
      <c r="F20" s="45">
        <f t="shared" si="8"/>
        <v>0</v>
      </c>
      <c r="G20" s="45">
        <f t="shared" si="8"/>
        <v>0</v>
      </c>
      <c r="H20" s="45">
        <f t="shared" si="8"/>
        <v>0</v>
      </c>
      <c r="I20" s="45">
        <f t="shared" si="8"/>
        <v>0</v>
      </c>
      <c r="J20" s="1"/>
      <c r="K20" s="13"/>
    </row>
    <row r="21" spans="1:11" ht="14.4" customHeight="1" x14ac:dyDescent="0.3">
      <c r="A21" s="18"/>
      <c r="B21" s="23" t="s">
        <v>30</v>
      </c>
      <c r="C21" s="46">
        <f>SUM(C17:C20)</f>
        <v>0</v>
      </c>
      <c r="D21" s="46">
        <f t="shared" ref="D21:I21" si="9">SUM(D17:D20)</f>
        <v>263.89478158560769</v>
      </c>
      <c r="E21" s="46">
        <f t="shared" si="9"/>
        <v>391.18783886314293</v>
      </c>
      <c r="F21" s="46">
        <f t="shared" si="9"/>
        <v>575.33454956397611</v>
      </c>
      <c r="G21" s="46">
        <f t="shared" si="9"/>
        <v>770.31178674792375</v>
      </c>
      <c r="H21" s="46">
        <f t="shared" si="9"/>
        <v>966.97627512082261</v>
      </c>
      <c r="I21" s="46">
        <f t="shared" si="9"/>
        <v>1164.2097709684708</v>
      </c>
      <c r="J21" s="1"/>
      <c r="K21" s="13"/>
    </row>
    <row r="22" spans="1:11" ht="7.05" customHeight="1" x14ac:dyDescent="0.3">
      <c r="A22" s="18"/>
      <c r="B22" s="52"/>
      <c r="C22" s="53"/>
      <c r="D22" s="54"/>
      <c r="E22" s="55"/>
      <c r="F22" s="55"/>
      <c r="G22" s="55"/>
      <c r="H22" s="55"/>
      <c r="I22" s="55"/>
      <c r="J22" s="1"/>
      <c r="K22" s="13"/>
    </row>
    <row r="23" spans="1:11" ht="15.6" x14ac:dyDescent="0.3">
      <c r="A23" s="18"/>
      <c r="B23" s="50" t="s">
        <v>59</v>
      </c>
      <c r="C23" s="1"/>
      <c r="D23" s="1"/>
      <c r="E23" s="1"/>
      <c r="F23" s="1"/>
      <c r="G23" s="1"/>
      <c r="H23" s="1"/>
      <c r="I23" s="49"/>
      <c r="J23" s="1"/>
      <c r="K23" s="13"/>
    </row>
    <row r="24" spans="1:11" ht="15.6" x14ac:dyDescent="0.3">
      <c r="A24" s="18"/>
      <c r="B24" s="50"/>
      <c r="C24" s="1"/>
      <c r="D24" s="1"/>
      <c r="E24" s="1"/>
      <c r="F24" s="1"/>
      <c r="G24" s="1"/>
      <c r="H24" s="1"/>
      <c r="I24" s="49"/>
      <c r="J24" s="1"/>
      <c r="K24" s="13"/>
    </row>
    <row r="25" spans="1:11" ht="15.6" x14ac:dyDescent="0.3">
      <c r="A25" s="18"/>
      <c r="B25" s="18"/>
      <c r="C25" s="1"/>
      <c r="D25" s="1"/>
      <c r="E25" s="1"/>
      <c r="F25" s="1"/>
      <c r="G25" s="1"/>
      <c r="H25" s="1"/>
      <c r="I25" s="1"/>
      <c r="J25" s="1"/>
      <c r="K25" s="13"/>
    </row>
    <row r="26" spans="1:11" ht="15.6" x14ac:dyDescent="0.3">
      <c r="A26" s="18"/>
      <c r="B26" s="18"/>
      <c r="C26" s="1"/>
      <c r="D26" s="1"/>
      <c r="E26" s="1"/>
      <c r="F26" s="1"/>
      <c r="G26" s="1"/>
      <c r="H26" s="1"/>
      <c r="I26" s="1"/>
      <c r="J26" s="1"/>
      <c r="K26" s="13"/>
    </row>
    <row r="27" spans="1:11" ht="30.6" customHeight="1" x14ac:dyDescent="0.3">
      <c r="A27" s="18"/>
      <c r="B27" s="35" t="s">
        <v>33</v>
      </c>
      <c r="C27" s="36" t="s">
        <v>10</v>
      </c>
      <c r="D27" s="36" t="s">
        <v>11</v>
      </c>
      <c r="E27" s="36" t="s">
        <v>12</v>
      </c>
      <c r="F27" s="36" t="s">
        <v>13</v>
      </c>
      <c r="G27" s="36" t="s">
        <v>14</v>
      </c>
      <c r="H27" s="36" t="s">
        <v>15</v>
      </c>
      <c r="I27" s="36" t="s">
        <v>16</v>
      </c>
      <c r="J27" s="1"/>
      <c r="K27" s="13"/>
    </row>
    <row r="28" spans="1:11" ht="7.05" customHeight="1" x14ac:dyDescent="0.3">
      <c r="A28" s="18"/>
      <c r="B28" s="8"/>
      <c r="C28" s="4"/>
      <c r="D28" s="4"/>
      <c r="E28" s="4"/>
      <c r="F28" s="4"/>
      <c r="G28" s="4"/>
      <c r="H28" s="4"/>
      <c r="I28" s="4"/>
      <c r="J28" s="1"/>
      <c r="K28" s="13"/>
    </row>
    <row r="29" spans="1:11" ht="14.4" customHeight="1" x14ac:dyDescent="0.3">
      <c r="A29" s="18"/>
      <c r="B29" s="8" t="s">
        <v>29</v>
      </c>
      <c r="C29" s="24"/>
      <c r="D29" s="24"/>
      <c r="E29" s="24"/>
      <c r="F29" s="24"/>
      <c r="G29" s="24"/>
      <c r="H29" s="24"/>
      <c r="I29" s="24"/>
      <c r="J29" s="1"/>
      <c r="K29" s="13"/>
    </row>
    <row r="30" spans="1:11" ht="14.4" customHeight="1" x14ac:dyDescent="0.3">
      <c r="A30" s="18"/>
      <c r="B30" s="19" t="s">
        <v>34</v>
      </c>
      <c r="C30" s="42">
        <v>100</v>
      </c>
      <c r="D30" s="42">
        <v>102.56442595240529</v>
      </c>
      <c r="E30" s="42">
        <v>104.50357075779402</v>
      </c>
      <c r="F30" s="42">
        <v>105.50149536710964</v>
      </c>
      <c r="G30" s="42">
        <v>106.98145129482582</v>
      </c>
      <c r="H30" s="42">
        <v>108.55297422600729</v>
      </c>
      <c r="I30" s="42">
        <v>110.32077972302103</v>
      </c>
      <c r="J30" s="1"/>
      <c r="K30" s="13"/>
    </row>
    <row r="31" spans="1:11" ht="14.4" customHeight="1" x14ac:dyDescent="0.3">
      <c r="A31" s="18"/>
      <c r="B31" s="19" t="s">
        <v>35</v>
      </c>
      <c r="C31" s="42">
        <v>100</v>
      </c>
      <c r="D31" s="42">
        <v>103.16609720855303</v>
      </c>
      <c r="E31" s="42">
        <v>104.19043041883501</v>
      </c>
      <c r="F31" s="42">
        <v>106.91456463096615</v>
      </c>
      <c r="G31" s="42">
        <v>109.80229968114126</v>
      </c>
      <c r="H31" s="42">
        <v>112.73908151864077</v>
      </c>
      <c r="I31" s="42">
        <v>115.72241913772804</v>
      </c>
      <c r="J31" s="1"/>
      <c r="K31" s="13"/>
    </row>
    <row r="32" spans="1:11" ht="14.4" customHeight="1" x14ac:dyDescent="0.3">
      <c r="A32" s="18"/>
      <c r="B32" s="19" t="s">
        <v>18</v>
      </c>
      <c r="C32" s="42">
        <v>100</v>
      </c>
      <c r="D32" s="42">
        <v>101.98358882499656</v>
      </c>
      <c r="E32" s="42">
        <v>103.96717764999312</v>
      </c>
      <c r="F32" s="42">
        <v>105.95076647498968</v>
      </c>
      <c r="G32" s="42">
        <v>107.93435529998624</v>
      </c>
      <c r="H32" s="42">
        <v>109.9179441249828</v>
      </c>
      <c r="I32" s="42">
        <v>111.9015329499794</v>
      </c>
      <c r="J32" s="1"/>
      <c r="K32" s="13"/>
    </row>
    <row r="33" spans="1:11" ht="14.4" customHeight="1" x14ac:dyDescent="0.3">
      <c r="A33" s="18"/>
      <c r="B33" s="19" t="s">
        <v>36</v>
      </c>
      <c r="C33" s="42">
        <v>100</v>
      </c>
      <c r="D33" s="42">
        <v>100.19039889452981</v>
      </c>
      <c r="E33" s="42">
        <v>99.956577979737943</v>
      </c>
      <c r="F33" s="42">
        <v>99.460188480089158</v>
      </c>
      <c r="G33" s="42">
        <v>98.739431469513448</v>
      </c>
      <c r="H33" s="42">
        <v>97.950978819453638</v>
      </c>
      <c r="I33" s="42">
        <v>96.999089738614956</v>
      </c>
      <c r="J33" s="1"/>
      <c r="K33" s="13"/>
    </row>
    <row r="34" spans="1:11" ht="14.4" customHeight="1" x14ac:dyDescent="0.3">
      <c r="A34" s="18"/>
      <c r="B34" s="19" t="s">
        <v>20</v>
      </c>
      <c r="C34" s="42">
        <v>100</v>
      </c>
      <c r="D34" s="42">
        <v>100.4</v>
      </c>
      <c r="E34" s="42">
        <v>100.80000000000001</v>
      </c>
      <c r="F34" s="42">
        <v>101.20000000000002</v>
      </c>
      <c r="G34" s="42">
        <v>101.60000000000002</v>
      </c>
      <c r="H34" s="42">
        <v>102.00000000000003</v>
      </c>
      <c r="I34" s="42">
        <v>102.40000000000003</v>
      </c>
      <c r="J34" s="1"/>
      <c r="K34" s="13"/>
    </row>
    <row r="35" spans="1:11" ht="14.4" customHeight="1" x14ac:dyDescent="0.3">
      <c r="A35" s="18"/>
      <c r="B35" s="19" t="s">
        <v>21</v>
      </c>
      <c r="C35" s="42">
        <v>0.5</v>
      </c>
      <c r="D35" s="42">
        <v>0.5</v>
      </c>
      <c r="E35" s="42">
        <v>0.5</v>
      </c>
      <c r="F35" s="42">
        <v>0.5</v>
      </c>
      <c r="G35" s="42">
        <v>0.5</v>
      </c>
      <c r="H35" s="42">
        <v>0.5</v>
      </c>
      <c r="I35" s="42">
        <v>0.5</v>
      </c>
      <c r="J35" s="1"/>
      <c r="K35" s="13"/>
    </row>
    <row r="36" spans="1:11" ht="14.4" customHeight="1" x14ac:dyDescent="0.3">
      <c r="A36" s="18"/>
      <c r="B36" s="19"/>
      <c r="C36" s="24"/>
      <c r="D36" s="24"/>
      <c r="E36" s="24"/>
      <c r="F36" s="24"/>
      <c r="G36" s="24"/>
      <c r="H36" s="24"/>
      <c r="I36" s="24"/>
      <c r="J36" s="1"/>
      <c r="K36" s="13"/>
    </row>
    <row r="37" spans="1:11" ht="14.4" customHeight="1" x14ac:dyDescent="0.3">
      <c r="A37" s="18"/>
      <c r="B37" s="20" t="s">
        <v>31</v>
      </c>
      <c r="C37" s="24"/>
      <c r="D37" s="24"/>
      <c r="E37" s="24"/>
      <c r="F37" s="24"/>
      <c r="G37" s="24"/>
      <c r="H37" s="24"/>
      <c r="I37" s="24"/>
      <c r="J37" s="1"/>
      <c r="K37" s="13"/>
    </row>
    <row r="38" spans="1:11" ht="14.4" customHeight="1" x14ac:dyDescent="0.3">
      <c r="A38" s="18"/>
      <c r="B38" s="19" t="s">
        <v>34</v>
      </c>
      <c r="C38" s="60">
        <v>1426.9544319450001</v>
      </c>
      <c r="D38" s="60">
        <f>$C38*(D$33/100)*(D$30/100)/(D$34/100)</f>
        <v>1460.4922312943029</v>
      </c>
      <c r="E38" s="60">
        <f t="shared" ref="E38:I38" si="10">$C38*(E$33/100)*(E$30/100)/(E$34/100)</f>
        <v>1478.7408902200161</v>
      </c>
      <c r="F38" s="60">
        <f t="shared" si="10"/>
        <v>1479.5767062976167</v>
      </c>
      <c r="G38" s="60">
        <f t="shared" si="10"/>
        <v>1483.5954890686587</v>
      </c>
      <c r="H38" s="60">
        <f t="shared" si="10"/>
        <v>1487.5118709617941</v>
      </c>
      <c r="I38" s="60">
        <f t="shared" si="10"/>
        <v>1491.1973714479402</v>
      </c>
      <c r="J38" s="1"/>
      <c r="K38" s="13"/>
    </row>
    <row r="39" spans="1:11" ht="14.4" customHeight="1" x14ac:dyDescent="0.3">
      <c r="A39" s="18"/>
      <c r="B39" s="19" t="s">
        <v>35</v>
      </c>
      <c r="C39" s="60">
        <v>579.28343505599992</v>
      </c>
      <c r="D39" s="60">
        <f>$C39*(D$33/100)*(D$31/100)/(D$34/100)</f>
        <v>596.37647552299006</v>
      </c>
      <c r="E39" s="60">
        <f t="shared" ref="E39:I39" si="11">$C39*(E$33/100)*(E$31/100)/(E$34/100)</f>
        <v>598.50776517296367</v>
      </c>
      <c r="F39" s="60">
        <f t="shared" si="11"/>
        <v>608.69081298522815</v>
      </c>
      <c r="G39" s="60">
        <f t="shared" si="11"/>
        <v>618.15795158549463</v>
      </c>
      <c r="H39" s="60">
        <f t="shared" si="11"/>
        <v>627.15402023614956</v>
      </c>
      <c r="I39" s="60">
        <f t="shared" si="11"/>
        <v>635.00378763091703</v>
      </c>
      <c r="J39" s="1"/>
      <c r="K39" s="13"/>
    </row>
    <row r="40" spans="1:11" ht="14.4" customHeight="1" x14ac:dyDescent="0.3">
      <c r="A40" s="18"/>
      <c r="B40" s="21" t="s">
        <v>30</v>
      </c>
      <c r="C40" s="61">
        <f t="shared" ref="C40:I40" si="12">SUM(C38:C39)</f>
        <v>2006.237867001</v>
      </c>
      <c r="D40" s="61">
        <f t="shared" si="12"/>
        <v>2056.8687068172931</v>
      </c>
      <c r="E40" s="61">
        <f t="shared" si="12"/>
        <v>2077.2486553929798</v>
      </c>
      <c r="F40" s="61">
        <f t="shared" si="12"/>
        <v>2088.2675192828447</v>
      </c>
      <c r="G40" s="61">
        <f t="shared" si="12"/>
        <v>2101.7534406541536</v>
      </c>
      <c r="H40" s="61">
        <f t="shared" si="12"/>
        <v>2114.6658911979439</v>
      </c>
      <c r="I40" s="61">
        <f t="shared" si="12"/>
        <v>2126.201159078857</v>
      </c>
      <c r="J40" s="1"/>
      <c r="K40" s="13"/>
    </row>
    <row r="41" spans="1:11" ht="14.4" customHeight="1" x14ac:dyDescent="0.3">
      <c r="A41" s="18"/>
      <c r="B41" s="19"/>
      <c r="C41" s="60"/>
      <c r="D41" s="60"/>
      <c r="E41" s="60"/>
      <c r="F41" s="60"/>
      <c r="G41" s="60"/>
      <c r="H41" s="60"/>
      <c r="I41" s="60"/>
      <c r="J41" s="1"/>
      <c r="K41" s="13"/>
    </row>
    <row r="42" spans="1:11" ht="14.4" customHeight="1" x14ac:dyDescent="0.3">
      <c r="A42" s="18"/>
      <c r="B42" s="20" t="s">
        <v>32</v>
      </c>
      <c r="C42" s="60"/>
      <c r="D42" s="60"/>
      <c r="E42" s="60"/>
      <c r="F42" s="60"/>
      <c r="G42" s="60"/>
      <c r="H42" s="60"/>
      <c r="I42" s="60"/>
      <c r="J42" s="1"/>
      <c r="K42" s="13"/>
    </row>
    <row r="43" spans="1:11" ht="14.4" customHeight="1" x14ac:dyDescent="0.3">
      <c r="A43" s="18"/>
      <c r="B43" s="19" t="s">
        <v>19</v>
      </c>
      <c r="C43" s="60">
        <v>982.81619037499991</v>
      </c>
      <c r="D43" s="60">
        <f>$C43*(D$33/100)*(((D$32*(1-D$35))+(D$31*D$35))/100)/(D$34/100)</f>
        <v>1006.0175476864238</v>
      </c>
      <c r="E43" s="60">
        <f t="shared" ref="E43:I43" si="13">$C43*(E$33/100)*(((E$32*(1-E$35))+(E$31*E$35))/100)/(E$34/100)</f>
        <v>1014.3444161753213</v>
      </c>
      <c r="F43" s="60">
        <f t="shared" si="13"/>
        <v>1028.0541878879678</v>
      </c>
      <c r="G43" s="60">
        <f t="shared" si="13"/>
        <v>1039.8501709803843</v>
      </c>
      <c r="H43" s="60">
        <f t="shared" si="13"/>
        <v>1050.7207725690573</v>
      </c>
      <c r="I43" s="60">
        <f t="shared" si="13"/>
        <v>1059.5658881715008</v>
      </c>
      <c r="J43" s="1"/>
      <c r="K43" s="13"/>
    </row>
    <row r="44" spans="1:11" ht="14.4" customHeight="1" x14ac:dyDescent="0.3">
      <c r="A44" s="18"/>
      <c r="B44" s="21" t="s">
        <v>30</v>
      </c>
      <c r="C44" s="61">
        <f t="shared" ref="C44:I44" si="14">SUM(C43:C43)</f>
        <v>982.81619037499991</v>
      </c>
      <c r="D44" s="61">
        <f t="shared" si="14"/>
        <v>1006.0175476864238</v>
      </c>
      <c r="E44" s="61">
        <f t="shared" si="14"/>
        <v>1014.3444161753213</v>
      </c>
      <c r="F44" s="61">
        <f t="shared" si="14"/>
        <v>1028.0541878879678</v>
      </c>
      <c r="G44" s="61">
        <f t="shared" si="14"/>
        <v>1039.8501709803843</v>
      </c>
      <c r="H44" s="61">
        <f t="shared" si="14"/>
        <v>1050.7207725690573</v>
      </c>
      <c r="I44" s="61">
        <f t="shared" si="14"/>
        <v>1059.5658881715008</v>
      </c>
      <c r="J44" s="1"/>
      <c r="K44" s="13"/>
    </row>
    <row r="45" spans="1:11" ht="14.4" customHeight="1" x14ac:dyDescent="0.3">
      <c r="A45" s="18"/>
      <c r="B45" s="21"/>
      <c r="C45" s="43"/>
      <c r="D45" s="43"/>
      <c r="E45" s="43"/>
      <c r="F45" s="43"/>
      <c r="G45" s="43"/>
      <c r="H45" s="43"/>
      <c r="I45" s="43"/>
      <c r="J45" s="1"/>
      <c r="K45" s="13"/>
    </row>
    <row r="46" spans="1:11" ht="7.05" customHeight="1" x14ac:dyDescent="0.3">
      <c r="A46" s="18"/>
      <c r="B46" s="51"/>
      <c r="C46" s="44"/>
      <c r="D46" s="44"/>
      <c r="E46" s="44"/>
      <c r="F46" s="44"/>
      <c r="G46" s="44"/>
      <c r="H46" s="44"/>
      <c r="I46" s="44"/>
      <c r="J46" s="1"/>
      <c r="K46" s="13"/>
    </row>
    <row r="47" spans="1:11" ht="14.4" customHeight="1" x14ac:dyDescent="0.3">
      <c r="A47" s="18"/>
      <c r="B47" s="22" t="s">
        <v>28</v>
      </c>
      <c r="C47" s="44"/>
      <c r="D47" s="44"/>
      <c r="E47" s="44"/>
      <c r="F47" s="44"/>
      <c r="G47" s="44"/>
      <c r="H47" s="44"/>
      <c r="I47" s="44"/>
      <c r="J47" s="1"/>
      <c r="K47" s="13"/>
    </row>
    <row r="48" spans="1:11" ht="14.4" customHeight="1" x14ac:dyDescent="0.3">
      <c r="A48" s="18"/>
      <c r="B48" s="15" t="s">
        <v>34</v>
      </c>
      <c r="C48" s="45">
        <v>0</v>
      </c>
      <c r="D48" s="45">
        <f>D38-$C38</f>
        <v>33.537799349302759</v>
      </c>
      <c r="E48" s="45">
        <f t="shared" ref="E48:I49" si="15">E38-$C38</f>
        <v>51.786458275016003</v>
      </c>
      <c r="F48" s="45">
        <f t="shared" si="15"/>
        <v>52.622274352616614</v>
      </c>
      <c r="G48" s="45">
        <f t="shared" si="15"/>
        <v>56.641057123658584</v>
      </c>
      <c r="H48" s="45">
        <f t="shared" si="15"/>
        <v>60.557439016793978</v>
      </c>
      <c r="I48" s="45">
        <f t="shared" si="15"/>
        <v>64.242939502940089</v>
      </c>
      <c r="J48" s="1"/>
      <c r="K48" s="13"/>
    </row>
    <row r="49" spans="1:11" ht="14.4" customHeight="1" x14ac:dyDescent="0.3">
      <c r="A49" s="18"/>
      <c r="B49" s="15" t="s">
        <v>35</v>
      </c>
      <c r="C49" s="45">
        <v>0</v>
      </c>
      <c r="D49" s="45">
        <f>D39-$C39</f>
        <v>17.093040466990146</v>
      </c>
      <c r="E49" s="45">
        <f t="shared" si="15"/>
        <v>19.224330116963756</v>
      </c>
      <c r="F49" s="45">
        <f t="shared" si="15"/>
        <v>29.407377929228232</v>
      </c>
      <c r="G49" s="45">
        <f t="shared" si="15"/>
        <v>38.874516529494713</v>
      </c>
      <c r="H49" s="45">
        <f t="shared" si="15"/>
        <v>47.870585180149646</v>
      </c>
      <c r="I49" s="45">
        <f t="shared" si="15"/>
        <v>55.720352574917115</v>
      </c>
      <c r="J49" s="1"/>
      <c r="K49" s="13"/>
    </row>
    <row r="50" spans="1:11" ht="14.4" customHeight="1" x14ac:dyDescent="0.3">
      <c r="A50" s="18"/>
      <c r="B50" s="15" t="s">
        <v>19</v>
      </c>
      <c r="C50" s="45">
        <v>0</v>
      </c>
      <c r="D50" s="45">
        <f>D43-$C43</f>
        <v>23.201357311423862</v>
      </c>
      <c r="E50" s="45">
        <f t="shared" ref="E50:I50" si="16">E43-$C43</f>
        <v>31.528225800321366</v>
      </c>
      <c r="F50" s="45">
        <f t="shared" si="16"/>
        <v>45.237997512967922</v>
      </c>
      <c r="G50" s="45">
        <f t="shared" si="16"/>
        <v>57.033980605384386</v>
      </c>
      <c r="H50" s="45">
        <f t="shared" si="16"/>
        <v>67.904582194057411</v>
      </c>
      <c r="I50" s="45">
        <f t="shared" si="16"/>
        <v>76.749697796500868</v>
      </c>
      <c r="J50" s="1"/>
      <c r="K50" s="13"/>
    </row>
    <row r="51" spans="1:11" ht="14.4" customHeight="1" x14ac:dyDescent="0.3">
      <c r="A51" s="18"/>
      <c r="B51" s="23" t="s">
        <v>30</v>
      </c>
      <c r="C51" s="46">
        <f>SUM(C48:C50)</f>
        <v>0</v>
      </c>
      <c r="D51" s="46">
        <f t="shared" ref="D51" si="17">SUM(D48:D50)</f>
        <v>73.832197127716768</v>
      </c>
      <c r="E51" s="46">
        <f t="shared" ref="E51" si="18">SUM(E48:E50)</f>
        <v>102.53901419230112</v>
      </c>
      <c r="F51" s="46">
        <f t="shared" ref="F51" si="19">SUM(F48:F50)</f>
        <v>127.26764979481277</v>
      </c>
      <c r="G51" s="46">
        <f t="shared" ref="G51" si="20">SUM(G48:G50)</f>
        <v>152.54955425853768</v>
      </c>
      <c r="H51" s="46">
        <f t="shared" ref="H51" si="21">SUM(H48:H50)</f>
        <v>176.33260639100104</v>
      </c>
      <c r="I51" s="46">
        <f t="shared" ref="I51" si="22">SUM(I48:I50)</f>
        <v>196.71298987435807</v>
      </c>
      <c r="J51" s="1"/>
      <c r="K51" s="13"/>
    </row>
    <row r="52" spans="1:11" ht="7.05" customHeight="1" x14ac:dyDescent="0.3">
      <c r="A52" s="18"/>
      <c r="B52" s="52"/>
      <c r="C52" s="53"/>
      <c r="D52" s="54"/>
      <c r="E52" s="55"/>
      <c r="F52" s="55"/>
      <c r="G52" s="55"/>
      <c r="H52" s="55"/>
      <c r="I52" s="55"/>
      <c r="J52" s="1"/>
      <c r="K52" s="13"/>
    </row>
    <row r="53" spans="1:11" ht="15.6" customHeight="1" x14ac:dyDescent="0.3">
      <c r="A53" s="18"/>
      <c r="B53" s="18"/>
      <c r="C53" s="1"/>
      <c r="D53" s="1"/>
      <c r="E53" s="1"/>
      <c r="F53" s="1"/>
      <c r="G53" s="1"/>
      <c r="H53" s="1"/>
      <c r="I53" s="1"/>
      <c r="J53" s="1"/>
      <c r="K53" s="13"/>
    </row>
    <row r="54" spans="1:11" ht="15.6" customHeight="1" x14ac:dyDescent="0.3">
      <c r="A54" s="1"/>
      <c r="B54" s="5"/>
      <c r="C54" s="5"/>
      <c r="D54" s="5"/>
      <c r="E54" s="5"/>
      <c r="F54" s="5"/>
      <c r="G54" s="5"/>
      <c r="H54" s="5"/>
      <c r="I54" s="5"/>
      <c r="J54" s="1"/>
      <c r="K54" s="13"/>
    </row>
    <row r="55" spans="1:11" ht="30.6" customHeight="1" x14ac:dyDescent="0.3">
      <c r="A55" s="4"/>
      <c r="B55" s="35" t="s">
        <v>23</v>
      </c>
      <c r="C55" s="36" t="s">
        <v>10</v>
      </c>
      <c r="D55" s="36" t="s">
        <v>11</v>
      </c>
      <c r="E55" s="36" t="s">
        <v>12</v>
      </c>
      <c r="F55" s="36" t="s">
        <v>13</v>
      </c>
      <c r="G55" s="36" t="s">
        <v>14</v>
      </c>
      <c r="H55" s="36" t="s">
        <v>15</v>
      </c>
      <c r="I55" s="36" t="s">
        <v>16</v>
      </c>
      <c r="J55" s="4"/>
      <c r="K55" s="13"/>
    </row>
    <row r="56" spans="1:11" ht="7.05" customHeight="1" x14ac:dyDescent="0.3">
      <c r="A56" s="4"/>
      <c r="B56" s="8"/>
      <c r="C56" s="4"/>
      <c r="D56" s="4"/>
      <c r="E56" s="4"/>
      <c r="F56" s="4"/>
      <c r="G56" s="4"/>
      <c r="H56" s="4"/>
      <c r="I56" s="4"/>
      <c r="J56" s="4"/>
      <c r="K56" s="13"/>
    </row>
    <row r="57" spans="1:11" x14ac:dyDescent="0.3">
      <c r="A57" s="4"/>
      <c r="B57" s="8" t="s">
        <v>29</v>
      </c>
      <c r="C57" s="24"/>
      <c r="D57" s="24"/>
      <c r="E57" s="24"/>
      <c r="F57" s="24"/>
      <c r="G57" s="24"/>
      <c r="H57" s="24"/>
      <c r="I57" s="24"/>
      <c r="J57" s="4"/>
      <c r="K57" s="16"/>
    </row>
    <row r="58" spans="1:11" x14ac:dyDescent="0.3">
      <c r="A58" s="4"/>
      <c r="B58" s="19" t="s">
        <v>17</v>
      </c>
      <c r="C58" s="42">
        <v>100</v>
      </c>
      <c r="D58" s="42">
        <v>103.16609720855303</v>
      </c>
      <c r="E58" s="42">
        <v>104.24437966232938</v>
      </c>
      <c r="F58" s="42">
        <v>107.11573509942018</v>
      </c>
      <c r="G58" s="42">
        <v>110.27711098745252</v>
      </c>
      <c r="H58" s="42">
        <v>113.48267954198046</v>
      </c>
      <c r="I58" s="42">
        <v>116.73605199012603</v>
      </c>
      <c r="J58" s="24"/>
      <c r="K58" s="16"/>
    </row>
    <row r="59" spans="1:11" x14ac:dyDescent="0.3">
      <c r="A59" s="4"/>
      <c r="B59" s="19" t="s">
        <v>18</v>
      </c>
      <c r="C59" s="42">
        <v>100</v>
      </c>
      <c r="D59" s="42">
        <v>101.98358882499656</v>
      </c>
      <c r="E59" s="42">
        <v>103.96717764999312</v>
      </c>
      <c r="F59" s="42">
        <v>105.95076647498968</v>
      </c>
      <c r="G59" s="42">
        <v>107.93435529998624</v>
      </c>
      <c r="H59" s="42">
        <v>109.9179441249828</v>
      </c>
      <c r="I59" s="42">
        <v>111.9015329499794</v>
      </c>
      <c r="J59" s="24"/>
      <c r="K59" s="16"/>
    </row>
    <row r="60" spans="1:11" x14ac:dyDescent="0.3">
      <c r="A60" s="4"/>
      <c r="B60" s="19" t="s">
        <v>27</v>
      </c>
      <c r="C60" s="42">
        <v>100</v>
      </c>
      <c r="D60" s="42">
        <v>104.90124359912217</v>
      </c>
      <c r="E60" s="42">
        <v>106.99926847110461</v>
      </c>
      <c r="F60" s="42">
        <v>109.13925384052672</v>
      </c>
      <c r="G60" s="42">
        <v>111.32203891733725</v>
      </c>
      <c r="H60" s="42">
        <v>113.54847969568398</v>
      </c>
      <c r="I60" s="42">
        <v>115.81944928959769</v>
      </c>
      <c r="J60" s="25"/>
      <c r="K60" s="16"/>
    </row>
    <row r="61" spans="1:11" x14ac:dyDescent="0.3">
      <c r="A61" s="4"/>
      <c r="B61" s="19" t="s">
        <v>22</v>
      </c>
      <c r="C61" s="42">
        <v>100</v>
      </c>
      <c r="D61" s="42">
        <v>100.98523831229416</v>
      </c>
      <c r="E61" s="42">
        <v>101.98018356990843</v>
      </c>
      <c r="F61" s="42">
        <v>102.98493140938709</v>
      </c>
      <c r="G61" s="42">
        <v>103.99957840952223</v>
      </c>
      <c r="H61" s="42">
        <v>105.02422210063725</v>
      </c>
      <c r="I61" s="42">
        <v>106.05896097396163</v>
      </c>
      <c r="J61" s="25"/>
      <c r="K61" s="16"/>
    </row>
    <row r="62" spans="1:11" x14ac:dyDescent="0.3">
      <c r="A62" s="4"/>
      <c r="B62" s="19" t="s">
        <v>20</v>
      </c>
      <c r="C62" s="42">
        <v>100</v>
      </c>
      <c r="D62" s="42">
        <v>100</v>
      </c>
      <c r="E62" s="42">
        <v>100</v>
      </c>
      <c r="F62" s="42">
        <v>100</v>
      </c>
      <c r="G62" s="42">
        <v>100</v>
      </c>
      <c r="H62" s="42">
        <v>100</v>
      </c>
      <c r="I62" s="42">
        <v>100</v>
      </c>
      <c r="J62" s="25"/>
      <c r="K62" s="16"/>
    </row>
    <row r="63" spans="1:11" x14ac:dyDescent="0.3">
      <c r="A63" s="4"/>
      <c r="B63" s="19" t="s">
        <v>21</v>
      </c>
      <c r="C63" s="42">
        <v>0.7</v>
      </c>
      <c r="D63" s="42">
        <v>0.7</v>
      </c>
      <c r="E63" s="42">
        <v>0.7</v>
      </c>
      <c r="F63" s="42">
        <v>0.7</v>
      </c>
      <c r="G63" s="42">
        <v>0.7</v>
      </c>
      <c r="H63" s="42">
        <v>0.7</v>
      </c>
      <c r="I63" s="42">
        <v>0.7</v>
      </c>
      <c r="J63" s="25"/>
      <c r="K63" s="16"/>
    </row>
    <row r="64" spans="1:11" x14ac:dyDescent="0.3">
      <c r="A64" s="4"/>
      <c r="B64" s="19"/>
      <c r="C64" s="24"/>
      <c r="D64" s="24"/>
      <c r="E64" s="24"/>
      <c r="F64" s="24"/>
      <c r="G64" s="24"/>
      <c r="H64" s="24"/>
      <c r="I64" s="24"/>
      <c r="J64" s="25"/>
      <c r="K64" s="16"/>
    </row>
    <row r="65" spans="1:11" x14ac:dyDescent="0.3">
      <c r="A65" s="4"/>
      <c r="B65" s="20" t="s">
        <v>31</v>
      </c>
      <c r="C65" s="24"/>
      <c r="D65" s="24"/>
      <c r="E65" s="24"/>
      <c r="F65" s="24"/>
      <c r="G65" s="24"/>
      <c r="H65" s="24"/>
      <c r="I65" s="24"/>
      <c r="J65" s="27"/>
      <c r="K65" s="16"/>
    </row>
    <row r="66" spans="1:11" x14ac:dyDescent="0.3">
      <c r="A66" s="4"/>
      <c r="B66" s="19" t="s">
        <v>24</v>
      </c>
      <c r="C66" s="60">
        <v>255.37531430545144</v>
      </c>
      <c r="D66" s="60">
        <f>$C66*(D$61/100)*(D$58/100)/(D$62/100)</f>
        <v>266.05646120063517</v>
      </c>
      <c r="E66" s="60">
        <f t="shared" ref="E66:I67" si="23">$C66*(E$61/100)*(E$58/100)/(E$62/100)</f>
        <v>271.48594625972163</v>
      </c>
      <c r="F66" s="60">
        <f t="shared" si="23"/>
        <v>281.71233983672067</v>
      </c>
      <c r="G66" s="60">
        <f t="shared" si="23"/>
        <v>292.88415225753482</v>
      </c>
      <c r="H66" s="60">
        <f t="shared" si="23"/>
        <v>304.36728432324247</v>
      </c>
      <c r="I66" s="60">
        <f t="shared" si="23"/>
        <v>316.17773480092529</v>
      </c>
      <c r="J66" s="27"/>
      <c r="K66" s="16"/>
    </row>
    <row r="67" spans="1:11" x14ac:dyDescent="0.3">
      <c r="A67" s="4"/>
      <c r="B67" s="19" t="s">
        <v>25</v>
      </c>
      <c r="C67" s="60">
        <v>222.28101415659935</v>
      </c>
      <c r="D67" s="60">
        <f t="shared" ref="D67" si="24">$C67*(D$61/100)*(D$58/100)/(D$62/100)</f>
        <v>231.57798230982215</v>
      </c>
      <c r="E67" s="60">
        <f t="shared" si="23"/>
        <v>236.30385586797792</v>
      </c>
      <c r="F67" s="60">
        <f t="shared" si="23"/>
        <v>245.20500256511326</v>
      </c>
      <c r="G67" s="60">
        <f t="shared" si="23"/>
        <v>254.92905048892965</v>
      </c>
      <c r="H67" s="60">
        <f t="shared" si="23"/>
        <v>264.92407388499151</v>
      </c>
      <c r="I67" s="60">
        <f t="shared" si="23"/>
        <v>275.20399822680019</v>
      </c>
      <c r="J67" s="27"/>
      <c r="K67" s="16"/>
    </row>
    <row r="68" spans="1:11" x14ac:dyDescent="0.3">
      <c r="A68" s="4"/>
      <c r="B68" s="19" t="s">
        <v>26</v>
      </c>
      <c r="C68" s="60">
        <v>213.07913410089643</v>
      </c>
      <c r="D68" s="60">
        <f>$C68*(D$60/100)*(D$58/100)/(D$62/100)</f>
        <v>230.5996062690156</v>
      </c>
      <c r="E68" s="60">
        <f t="shared" ref="E68:I68" si="25">$C68*(E$60/100)*(E$58/100)/(E$62/100)</f>
        <v>237.67000814659056</v>
      </c>
      <c r="F68" s="60">
        <f t="shared" si="25"/>
        <v>249.10083086009445</v>
      </c>
      <c r="G68" s="60">
        <f t="shared" si="25"/>
        <v>261.58175869544539</v>
      </c>
      <c r="H68" s="60">
        <f t="shared" si="25"/>
        <v>274.56920663644598</v>
      </c>
      <c r="I68" s="60">
        <f t="shared" si="25"/>
        <v>288.08949362463449</v>
      </c>
      <c r="J68" s="27"/>
      <c r="K68" s="16"/>
    </row>
    <row r="69" spans="1:11" x14ac:dyDescent="0.3">
      <c r="A69" s="4"/>
      <c r="B69" s="21" t="s">
        <v>30</v>
      </c>
      <c r="C69" s="61">
        <f>SUM(C66:C68)</f>
        <v>690.73546256294719</v>
      </c>
      <c r="D69" s="61">
        <f t="shared" ref="D69:I69" si="26">SUM(D66:D68)</f>
        <v>728.23404977947291</v>
      </c>
      <c r="E69" s="61">
        <f t="shared" si="26"/>
        <v>745.45981027429013</v>
      </c>
      <c r="F69" s="61">
        <f t="shared" si="26"/>
        <v>776.01817326192838</v>
      </c>
      <c r="G69" s="61">
        <f t="shared" si="26"/>
        <v>809.3949614419098</v>
      </c>
      <c r="H69" s="61">
        <f t="shared" si="26"/>
        <v>843.86056484467997</v>
      </c>
      <c r="I69" s="61">
        <f t="shared" si="26"/>
        <v>879.47122665235997</v>
      </c>
      <c r="J69" s="27"/>
      <c r="K69" s="16"/>
    </row>
    <row r="70" spans="1:11" x14ac:dyDescent="0.3">
      <c r="A70" s="4"/>
      <c r="B70" s="19"/>
      <c r="C70" s="60"/>
      <c r="D70" s="60"/>
      <c r="E70" s="60"/>
      <c r="F70" s="60"/>
      <c r="G70" s="60"/>
      <c r="H70" s="60"/>
      <c r="I70" s="60"/>
      <c r="J70" s="27"/>
      <c r="K70" s="16"/>
    </row>
    <row r="71" spans="1:11" s="14" customFormat="1" x14ac:dyDescent="0.3">
      <c r="A71" s="28"/>
      <c r="B71" s="20" t="s">
        <v>32</v>
      </c>
      <c r="C71" s="60"/>
      <c r="D71" s="60"/>
      <c r="E71" s="60"/>
      <c r="F71" s="60"/>
      <c r="G71" s="60"/>
      <c r="H71" s="60"/>
      <c r="I71" s="60"/>
      <c r="J71" s="29"/>
      <c r="K71" s="17"/>
    </row>
    <row r="72" spans="1:11" s="14" customFormat="1" x14ac:dyDescent="0.3">
      <c r="A72" s="28"/>
      <c r="B72" s="19" t="s">
        <v>24</v>
      </c>
      <c r="C72" s="60">
        <v>640.36996098400243</v>
      </c>
      <c r="D72" s="60">
        <f t="shared" ref="D72:D73" si="27">$C72*(D$61/100)*(((D$59*(1-D$63))+(D$58*D$63))/100)/(D$62/100)</f>
        <v>664.85951061835181</v>
      </c>
      <c r="E72" s="60">
        <f t="shared" ref="E72:I73" si="28">$C72*(E$61/100)*(((E$59*(1-E$63))+(E$58*E$63))/100)/(E$62/100)</f>
        <v>680.22532201434126</v>
      </c>
      <c r="F72" s="60">
        <f t="shared" si="28"/>
        <v>704.10690327889188</v>
      </c>
      <c r="G72" s="60">
        <f t="shared" si="28"/>
        <v>729.74507534066186</v>
      </c>
      <c r="H72" s="60">
        <f t="shared" si="28"/>
        <v>756.02814477366144</v>
      </c>
      <c r="I72" s="60">
        <f t="shared" si="28"/>
        <v>782.98554869227064</v>
      </c>
      <c r="J72" s="29"/>
      <c r="K72" s="17"/>
    </row>
    <row r="73" spans="1:11" s="14" customFormat="1" x14ac:dyDescent="0.3">
      <c r="A73" s="28"/>
      <c r="B73" s="19" t="s">
        <v>25</v>
      </c>
      <c r="C73" s="60">
        <v>557.38388320764761</v>
      </c>
      <c r="D73" s="60">
        <f t="shared" si="27"/>
        <v>578.69981166285675</v>
      </c>
      <c r="E73" s="60">
        <f t="shared" si="28"/>
        <v>592.07435473382202</v>
      </c>
      <c r="F73" s="60">
        <f t="shared" si="28"/>
        <v>612.86110194776086</v>
      </c>
      <c r="G73" s="60">
        <f t="shared" si="28"/>
        <v>635.1768018912378</v>
      </c>
      <c r="H73" s="60">
        <f t="shared" si="28"/>
        <v>658.05382641729557</v>
      </c>
      <c r="I73" s="60">
        <f t="shared" si="28"/>
        <v>681.51779786008899</v>
      </c>
      <c r="J73" s="29"/>
      <c r="K73" s="17"/>
    </row>
    <row r="74" spans="1:11" s="14" customFormat="1" x14ac:dyDescent="0.3">
      <c r="A74" s="28"/>
      <c r="B74" s="19" t="s">
        <v>26</v>
      </c>
      <c r="C74" s="60">
        <v>534.30957945876651</v>
      </c>
      <c r="D74" s="60">
        <f t="shared" ref="D74:I74" si="29">$C74*(D$60/100)*(((D$59*(1-D$63))+(D$58*D$63))/100)/(D$62/100)</f>
        <v>576.2549072513799</v>
      </c>
      <c r="E74" s="60">
        <f t="shared" si="29"/>
        <v>595.49733624149428</v>
      </c>
      <c r="F74" s="60">
        <f t="shared" si="29"/>
        <v>622.59826716414909</v>
      </c>
      <c r="G74" s="60">
        <f t="shared" si="29"/>
        <v>651.75257430487943</v>
      </c>
      <c r="H74" s="60">
        <f t="shared" si="29"/>
        <v>682.01169638479689</v>
      </c>
      <c r="I74" s="60">
        <f t="shared" si="29"/>
        <v>713.42756117912052</v>
      </c>
      <c r="J74" s="29"/>
      <c r="K74" s="17"/>
    </row>
    <row r="75" spans="1:11" s="14" customFormat="1" x14ac:dyDescent="0.3">
      <c r="A75" s="28"/>
      <c r="B75" s="21" t="s">
        <v>30</v>
      </c>
      <c r="C75" s="61">
        <f>SUM(C72:C74)</f>
        <v>1732.0634236504166</v>
      </c>
      <c r="D75" s="61">
        <f t="shared" ref="D75:I75" si="30">SUM(D72:D74)</f>
        <v>1819.8142295325883</v>
      </c>
      <c r="E75" s="61">
        <f t="shared" si="30"/>
        <v>1867.7970129896576</v>
      </c>
      <c r="F75" s="61">
        <f t="shared" si="30"/>
        <v>1939.5662723908017</v>
      </c>
      <c r="G75" s="61">
        <f t="shared" si="30"/>
        <v>2016.6744515367791</v>
      </c>
      <c r="H75" s="61">
        <f t="shared" si="30"/>
        <v>2096.0936675757539</v>
      </c>
      <c r="I75" s="61">
        <f t="shared" si="30"/>
        <v>2177.9309077314801</v>
      </c>
      <c r="J75" s="29"/>
      <c r="K75" s="17"/>
    </row>
    <row r="76" spans="1:11" s="14" customFormat="1" x14ac:dyDescent="0.3">
      <c r="A76" s="28"/>
      <c r="B76" s="21"/>
      <c r="C76" s="43"/>
      <c r="D76" s="43"/>
      <c r="E76" s="43"/>
      <c r="F76" s="43"/>
      <c r="G76" s="43"/>
      <c r="H76" s="43"/>
      <c r="I76" s="43"/>
      <c r="J76" s="29"/>
      <c r="K76" s="17"/>
    </row>
    <row r="77" spans="1:11" ht="7.05" customHeight="1" x14ac:dyDescent="0.3">
      <c r="A77" s="4"/>
      <c r="B77" s="51"/>
      <c r="C77" s="44"/>
      <c r="D77" s="44"/>
      <c r="E77" s="44"/>
      <c r="F77" s="44"/>
      <c r="G77" s="44"/>
      <c r="H77" s="44"/>
      <c r="I77" s="44"/>
      <c r="J77" s="27"/>
      <c r="K77" s="16"/>
    </row>
    <row r="78" spans="1:11" x14ac:dyDescent="0.3">
      <c r="A78" s="4"/>
      <c r="B78" s="22" t="s">
        <v>28</v>
      </c>
      <c r="C78" s="44"/>
      <c r="D78" s="44"/>
      <c r="E78" s="44"/>
      <c r="F78" s="44"/>
      <c r="G78" s="44"/>
      <c r="H78" s="44"/>
      <c r="I78" s="44"/>
      <c r="J78" s="30"/>
      <c r="K78" s="16"/>
    </row>
    <row r="79" spans="1:11" x14ac:dyDescent="0.3">
      <c r="A79" s="4"/>
      <c r="B79" s="15" t="s">
        <v>24</v>
      </c>
      <c r="C79" s="45">
        <v>0</v>
      </c>
      <c r="D79" s="45">
        <f>(D66+D72)-($C66+$C72)</f>
        <v>35.170696529533075</v>
      </c>
      <c r="E79" s="45">
        <f t="shared" ref="E79:I79" si="31">(E66+E72)-($C66+$C72)</f>
        <v>55.965992984608988</v>
      </c>
      <c r="F79" s="45">
        <f t="shared" si="31"/>
        <v>90.073967826158764</v>
      </c>
      <c r="G79" s="45">
        <f t="shared" si="31"/>
        <v>126.88395230874278</v>
      </c>
      <c r="H79" s="45">
        <f t="shared" si="31"/>
        <v>164.65015380745001</v>
      </c>
      <c r="I79" s="45">
        <f t="shared" si="31"/>
        <v>203.41800820374203</v>
      </c>
      <c r="J79" s="31"/>
      <c r="K79" s="16"/>
    </row>
    <row r="80" spans="1:11" x14ac:dyDescent="0.3">
      <c r="A80" s="4"/>
      <c r="B80" s="15" t="s">
        <v>25</v>
      </c>
      <c r="C80" s="45">
        <v>0</v>
      </c>
      <c r="D80" s="45">
        <f>(D67+D73)-($C67+$C73)</f>
        <v>30.612896608431925</v>
      </c>
      <c r="E80" s="45">
        <f t="shared" ref="E80:I81" si="32">(E67+E73)-($C67+$C73)</f>
        <v>48.713313237553052</v>
      </c>
      <c r="F80" s="45">
        <f t="shared" si="32"/>
        <v>78.401207148627122</v>
      </c>
      <c r="G80" s="45">
        <f t="shared" si="32"/>
        <v>110.44095501592051</v>
      </c>
      <c r="H80" s="45">
        <f t="shared" si="32"/>
        <v>143.31300293804009</v>
      </c>
      <c r="I80" s="45">
        <f t="shared" si="32"/>
        <v>177.05689872264225</v>
      </c>
      <c r="J80" s="27"/>
      <c r="K80" s="16"/>
    </row>
    <row r="81" spans="1:11" x14ac:dyDescent="0.3">
      <c r="A81" s="4"/>
      <c r="B81" s="15" t="s">
        <v>26</v>
      </c>
      <c r="C81" s="45">
        <v>0</v>
      </c>
      <c r="D81" s="45">
        <f>(D68+D74)-($C68+$C74)</f>
        <v>59.465799960732511</v>
      </c>
      <c r="E81" s="45">
        <f t="shared" si="32"/>
        <v>85.77863082842191</v>
      </c>
      <c r="F81" s="45">
        <f t="shared" si="32"/>
        <v>124.31038446458058</v>
      </c>
      <c r="G81" s="45">
        <f t="shared" si="32"/>
        <v>165.94561944066186</v>
      </c>
      <c r="H81" s="45">
        <f t="shared" si="32"/>
        <v>209.19218946157991</v>
      </c>
      <c r="I81" s="45">
        <f t="shared" si="32"/>
        <v>254.12834124409198</v>
      </c>
      <c r="J81" s="32"/>
      <c r="K81" s="16"/>
    </row>
    <row r="82" spans="1:11" x14ac:dyDescent="0.3">
      <c r="A82" s="4"/>
      <c r="B82" s="23" t="s">
        <v>30</v>
      </c>
      <c r="C82" s="46">
        <f>SUM(C79:C81)</f>
        <v>0</v>
      </c>
      <c r="D82" s="46">
        <f t="shared" ref="D82:I82" si="33">SUM(D79:D81)</f>
        <v>125.24939309869751</v>
      </c>
      <c r="E82" s="46">
        <f t="shared" si="33"/>
        <v>190.45793705058395</v>
      </c>
      <c r="F82" s="46">
        <f t="shared" si="33"/>
        <v>292.78555943936647</v>
      </c>
      <c r="G82" s="46">
        <f t="shared" si="33"/>
        <v>403.27052676532514</v>
      </c>
      <c r="H82" s="46">
        <f t="shared" si="33"/>
        <v>517.15534620707001</v>
      </c>
      <c r="I82" s="46">
        <f t="shared" si="33"/>
        <v>634.60324817047626</v>
      </c>
      <c r="J82" s="27"/>
      <c r="K82" s="16"/>
    </row>
    <row r="83" spans="1:11" ht="7.05" customHeight="1" x14ac:dyDescent="0.3">
      <c r="A83" s="4"/>
      <c r="B83" s="52"/>
      <c r="C83" s="53"/>
      <c r="D83" s="54"/>
      <c r="E83" s="55"/>
      <c r="F83" s="55"/>
      <c r="G83" s="55"/>
      <c r="H83" s="55"/>
      <c r="I83" s="55"/>
      <c r="J83" s="32"/>
      <c r="K83" s="16"/>
    </row>
    <row r="84" spans="1:11" ht="15.6" customHeight="1" x14ac:dyDescent="0.3">
      <c r="A84" s="4"/>
      <c r="B84" s="26"/>
      <c r="C84" s="33"/>
      <c r="D84" s="34"/>
      <c r="E84" s="32"/>
      <c r="F84" s="32"/>
      <c r="G84" s="32"/>
      <c r="H84" s="32"/>
      <c r="I84" s="32"/>
      <c r="J84" s="32"/>
      <c r="K84" s="16"/>
    </row>
    <row r="85" spans="1:11" ht="15.6" customHeight="1" x14ac:dyDescent="0.3">
      <c r="A85" s="1"/>
      <c r="B85" s="1"/>
      <c r="C85" s="1"/>
      <c r="D85" s="1"/>
      <c r="E85" s="1"/>
      <c r="F85" s="1"/>
      <c r="G85" s="1"/>
      <c r="H85" s="1"/>
      <c r="I85" s="1"/>
      <c r="J85" s="1"/>
      <c r="K85" s="13"/>
    </row>
    <row r="86" spans="1:11" ht="30.6" customHeight="1" x14ac:dyDescent="0.3">
      <c r="B86" s="35" t="s">
        <v>37</v>
      </c>
      <c r="C86" s="36" t="s">
        <v>10</v>
      </c>
      <c r="D86" s="36" t="s">
        <v>11</v>
      </c>
      <c r="E86" s="36" t="s">
        <v>12</v>
      </c>
      <c r="F86" s="36" t="s">
        <v>13</v>
      </c>
      <c r="G86" s="36" t="s">
        <v>14</v>
      </c>
      <c r="H86" s="36" t="s">
        <v>15</v>
      </c>
      <c r="I86" s="36" t="s">
        <v>16</v>
      </c>
    </row>
    <row r="87" spans="1:11" ht="7.05" customHeight="1" x14ac:dyDescent="0.3">
      <c r="B87" s="8"/>
      <c r="C87" s="4"/>
      <c r="D87" s="4"/>
      <c r="E87" s="4"/>
      <c r="F87" s="4"/>
      <c r="G87" s="4"/>
      <c r="H87" s="4"/>
      <c r="I87" s="4"/>
    </row>
    <row r="88" spans="1:11" x14ac:dyDescent="0.3">
      <c r="B88" s="8" t="s">
        <v>29</v>
      </c>
      <c r="C88" s="24"/>
      <c r="D88" s="24"/>
      <c r="E88" s="24"/>
      <c r="F88" s="24"/>
      <c r="G88" s="24"/>
      <c r="H88" s="24"/>
      <c r="I88" s="24"/>
    </row>
    <row r="89" spans="1:11" x14ac:dyDescent="0.3">
      <c r="B89" s="19" t="s">
        <v>17</v>
      </c>
      <c r="C89" s="42">
        <v>100</v>
      </c>
      <c r="D89" s="42">
        <v>103.16609720855303</v>
      </c>
      <c r="E89" s="42">
        <v>104.19043041883501</v>
      </c>
      <c r="F89" s="42">
        <v>106.91456463096615</v>
      </c>
      <c r="G89" s="42">
        <v>109.80229968114126</v>
      </c>
      <c r="H89" s="42">
        <v>112.73908151864077</v>
      </c>
      <c r="I89" s="42">
        <v>115.72241913772804</v>
      </c>
    </row>
    <row r="90" spans="1:11" x14ac:dyDescent="0.3">
      <c r="B90" s="19" t="s">
        <v>18</v>
      </c>
      <c r="C90" s="42">
        <v>100</v>
      </c>
      <c r="D90" s="42">
        <v>101.98358882499656</v>
      </c>
      <c r="E90" s="42">
        <v>103.96717764999312</v>
      </c>
      <c r="F90" s="42">
        <v>105.95076647498968</v>
      </c>
      <c r="G90" s="42">
        <v>107.93435529998624</v>
      </c>
      <c r="H90" s="42">
        <v>109.9179441249828</v>
      </c>
      <c r="I90" s="42">
        <v>111.9015329499794</v>
      </c>
    </row>
    <row r="91" spans="1:11" x14ac:dyDescent="0.3">
      <c r="B91" s="19" t="s">
        <v>46</v>
      </c>
      <c r="C91" s="42">
        <v>100</v>
      </c>
      <c r="D91" s="42">
        <v>100.39418857405202</v>
      </c>
      <c r="E91" s="42">
        <v>100.73542312926207</v>
      </c>
      <c r="F91" s="42">
        <v>101.03179430361975</v>
      </c>
      <c r="G91" s="42">
        <v>101.30344937211891</v>
      </c>
      <c r="H91" s="42">
        <v>101.52123031000468</v>
      </c>
      <c r="I91" s="42">
        <v>101.71730930128298</v>
      </c>
    </row>
    <row r="92" spans="1:11" x14ac:dyDescent="0.3">
      <c r="B92" s="19" t="s">
        <v>20</v>
      </c>
      <c r="C92" s="42">
        <v>100</v>
      </c>
      <c r="D92" s="42">
        <v>100</v>
      </c>
      <c r="E92" s="42">
        <v>100</v>
      </c>
      <c r="F92" s="42">
        <v>100</v>
      </c>
      <c r="G92" s="42">
        <v>100</v>
      </c>
      <c r="H92" s="42">
        <v>100</v>
      </c>
      <c r="I92" s="42">
        <v>100</v>
      </c>
    </row>
    <row r="93" spans="1:11" x14ac:dyDescent="0.3">
      <c r="B93" s="19" t="s">
        <v>21</v>
      </c>
      <c r="C93" s="42">
        <v>0.5</v>
      </c>
      <c r="D93" s="42">
        <v>0.5</v>
      </c>
      <c r="E93" s="42">
        <v>0.5</v>
      </c>
      <c r="F93" s="42">
        <v>0.5</v>
      </c>
      <c r="G93" s="42">
        <v>0.5</v>
      </c>
      <c r="H93" s="42">
        <v>0.5</v>
      </c>
      <c r="I93" s="42">
        <v>0.5</v>
      </c>
    </row>
    <row r="94" spans="1:11" x14ac:dyDescent="0.3">
      <c r="B94" s="19"/>
      <c r="C94" s="24"/>
      <c r="D94" s="24"/>
      <c r="E94" s="24"/>
      <c r="F94" s="24"/>
      <c r="G94" s="24"/>
      <c r="H94" s="24"/>
      <c r="I94" s="24"/>
    </row>
    <row r="95" spans="1:11" x14ac:dyDescent="0.3">
      <c r="B95" s="20" t="s">
        <v>31</v>
      </c>
      <c r="C95" s="24"/>
      <c r="D95" s="24"/>
      <c r="E95" s="24"/>
      <c r="F95" s="24"/>
      <c r="G95" s="24"/>
      <c r="H95" s="24"/>
      <c r="I95" s="24"/>
    </row>
    <row r="96" spans="1:11" x14ac:dyDescent="0.3">
      <c r="B96" s="19" t="s">
        <v>47</v>
      </c>
      <c r="C96" s="60">
        <v>843.98735326915812</v>
      </c>
      <c r="D96" s="60">
        <f>$C96*(D$91/100)*(D$89/100)/(D$92/100)</f>
        <v>874.14104795685228</v>
      </c>
      <c r="E96" s="60">
        <f t="shared" ref="E96:I96" si="34">$C96*(E$91/100)*(E$89/100)/(E$92/100)</f>
        <v>885.82102916797749</v>
      </c>
      <c r="F96" s="60">
        <f t="shared" si="34"/>
        <v>911.65575276855429</v>
      </c>
      <c r="G96" s="60">
        <f t="shared" si="34"/>
        <v>938.79681664118743</v>
      </c>
      <c r="H96" s="60">
        <f t="shared" si="34"/>
        <v>965.9781512241791</v>
      </c>
      <c r="I96" s="60">
        <f t="shared" si="34"/>
        <v>993.45524325145448</v>
      </c>
    </row>
    <row r="97" spans="2:9" x14ac:dyDescent="0.3">
      <c r="B97" s="21" t="s">
        <v>30</v>
      </c>
      <c r="C97" s="61">
        <f t="shared" ref="C97:I97" si="35">SUM(C96:C96)</f>
        <v>843.98735326915812</v>
      </c>
      <c r="D97" s="61">
        <f t="shared" si="35"/>
        <v>874.14104795685228</v>
      </c>
      <c r="E97" s="61">
        <f t="shared" si="35"/>
        <v>885.82102916797749</v>
      </c>
      <c r="F97" s="61">
        <f t="shared" si="35"/>
        <v>911.65575276855429</v>
      </c>
      <c r="G97" s="61">
        <f t="shared" si="35"/>
        <v>938.79681664118743</v>
      </c>
      <c r="H97" s="61">
        <f t="shared" si="35"/>
        <v>965.9781512241791</v>
      </c>
      <c r="I97" s="61">
        <f t="shared" si="35"/>
        <v>993.45524325145448</v>
      </c>
    </row>
    <row r="98" spans="2:9" x14ac:dyDescent="0.3">
      <c r="B98" s="19"/>
      <c r="C98" s="60"/>
      <c r="D98" s="60"/>
      <c r="E98" s="60"/>
      <c r="F98" s="60"/>
      <c r="G98" s="60"/>
      <c r="H98" s="60"/>
      <c r="I98" s="60"/>
    </row>
    <row r="99" spans="2:9" x14ac:dyDescent="0.3">
      <c r="B99" s="20" t="s">
        <v>32</v>
      </c>
      <c r="C99" s="60"/>
      <c r="D99" s="60"/>
      <c r="E99" s="60"/>
      <c r="F99" s="60"/>
      <c r="G99" s="60"/>
      <c r="H99" s="60"/>
      <c r="I99" s="60"/>
    </row>
    <row r="100" spans="2:9" x14ac:dyDescent="0.3">
      <c r="B100" s="19" t="s">
        <v>19</v>
      </c>
      <c r="C100" s="60">
        <v>1163.3899671729218</v>
      </c>
      <c r="D100" s="60">
        <f>$C100*(D$91/100)*(((D$90*(1-D$93))+(D$89*D$93))/100)/(D$92/100)</f>
        <v>1198.0494638444211</v>
      </c>
      <c r="E100" s="60">
        <f t="shared" ref="E100:I100" si="36">$C100*(E$91/100)*(((E$90*(1-E$93))+(E$89*E$93))/100)/(E$92/100)</f>
        <v>1219.7471788943603</v>
      </c>
      <c r="F100" s="60">
        <f t="shared" si="36"/>
        <v>1251.0029080033225</v>
      </c>
      <c r="G100" s="60">
        <f t="shared" si="36"/>
        <v>1283.0722095249535</v>
      </c>
      <c r="H100" s="60">
        <f t="shared" si="36"/>
        <v>1314.8874917406524</v>
      </c>
      <c r="I100" s="60">
        <f t="shared" si="36"/>
        <v>1346.815610114262</v>
      </c>
    </row>
    <row r="101" spans="2:9" x14ac:dyDescent="0.3">
      <c r="B101" s="21" t="s">
        <v>30</v>
      </c>
      <c r="C101" s="61">
        <f t="shared" ref="C101:I101" si="37">SUM(C100:C100)</f>
        <v>1163.3899671729218</v>
      </c>
      <c r="D101" s="61">
        <f t="shared" si="37"/>
        <v>1198.0494638444211</v>
      </c>
      <c r="E101" s="61">
        <f t="shared" si="37"/>
        <v>1219.7471788943603</v>
      </c>
      <c r="F101" s="61">
        <f t="shared" si="37"/>
        <v>1251.0029080033225</v>
      </c>
      <c r="G101" s="61">
        <f t="shared" si="37"/>
        <v>1283.0722095249535</v>
      </c>
      <c r="H101" s="61">
        <f t="shared" si="37"/>
        <v>1314.8874917406524</v>
      </c>
      <c r="I101" s="61">
        <f t="shared" si="37"/>
        <v>1346.815610114262</v>
      </c>
    </row>
    <row r="102" spans="2:9" x14ac:dyDescent="0.3">
      <c r="B102" s="21"/>
      <c r="C102" s="43"/>
      <c r="D102" s="43"/>
      <c r="E102" s="43"/>
      <c r="F102" s="43"/>
      <c r="G102" s="43"/>
      <c r="H102" s="43"/>
      <c r="I102" s="43"/>
    </row>
    <row r="103" spans="2:9" ht="7.05" customHeight="1" x14ac:dyDescent="0.3">
      <c r="B103" s="51"/>
      <c r="C103" s="44"/>
      <c r="D103" s="44"/>
      <c r="E103" s="44"/>
      <c r="F103" s="44"/>
      <c r="G103" s="44"/>
      <c r="H103" s="44"/>
      <c r="I103" s="44"/>
    </row>
    <row r="104" spans="2:9" x14ac:dyDescent="0.3">
      <c r="B104" s="22" t="s">
        <v>28</v>
      </c>
      <c r="C104" s="44"/>
      <c r="D104" s="44"/>
      <c r="E104" s="44"/>
      <c r="F104" s="44"/>
      <c r="G104" s="44"/>
      <c r="H104" s="44"/>
      <c r="I104" s="44"/>
    </row>
    <row r="105" spans="2:9" x14ac:dyDescent="0.3">
      <c r="B105" s="15" t="s">
        <v>47</v>
      </c>
      <c r="C105" s="45">
        <v>0</v>
      </c>
      <c r="D105" s="45">
        <f>D97-$C97</f>
        <v>30.153694687694156</v>
      </c>
      <c r="E105" s="45">
        <f t="shared" ref="E105:I105" si="38">E97-$C97</f>
        <v>41.833675898819365</v>
      </c>
      <c r="F105" s="45">
        <f t="shared" si="38"/>
        <v>67.668399499396173</v>
      </c>
      <c r="G105" s="45">
        <f t="shared" si="38"/>
        <v>94.809463372029313</v>
      </c>
      <c r="H105" s="45">
        <f t="shared" si="38"/>
        <v>121.99079795502098</v>
      </c>
      <c r="I105" s="45">
        <f t="shared" si="38"/>
        <v>149.46788998229636</v>
      </c>
    </row>
    <row r="106" spans="2:9" x14ac:dyDescent="0.3">
      <c r="B106" s="15" t="s">
        <v>19</v>
      </c>
      <c r="C106" s="45">
        <v>0</v>
      </c>
      <c r="D106" s="45">
        <f>D101-$C101</f>
        <v>34.659496671499255</v>
      </c>
      <c r="E106" s="45">
        <f t="shared" ref="E106:I106" si="39">E101-$C101</f>
        <v>56.357211721438489</v>
      </c>
      <c r="F106" s="45">
        <f t="shared" si="39"/>
        <v>87.612940830400703</v>
      </c>
      <c r="G106" s="45">
        <f t="shared" si="39"/>
        <v>119.68224235203161</v>
      </c>
      <c r="H106" s="45">
        <f t="shared" si="39"/>
        <v>151.49752456773058</v>
      </c>
      <c r="I106" s="45">
        <f t="shared" si="39"/>
        <v>183.42564294134013</v>
      </c>
    </row>
    <row r="107" spans="2:9" x14ac:dyDescent="0.3">
      <c r="B107" s="23" t="s">
        <v>30</v>
      </c>
      <c r="C107" s="46">
        <f>SUM(C105:C106)</f>
        <v>0</v>
      </c>
      <c r="D107" s="46">
        <f>SUM(D105:D106)</f>
        <v>64.813191359193411</v>
      </c>
      <c r="E107" s="46">
        <f t="shared" ref="E107:I107" si="40">SUM(E105:E106)</f>
        <v>98.190887620257854</v>
      </c>
      <c r="F107" s="46">
        <f t="shared" si="40"/>
        <v>155.28134032979688</v>
      </c>
      <c r="G107" s="46">
        <f t="shared" si="40"/>
        <v>214.49170572406092</v>
      </c>
      <c r="H107" s="46">
        <f t="shared" si="40"/>
        <v>273.48832252275156</v>
      </c>
      <c r="I107" s="46">
        <f t="shared" si="40"/>
        <v>332.89353292363649</v>
      </c>
    </row>
    <row r="108" spans="2:9" ht="7.05" customHeight="1" x14ac:dyDescent="0.3">
      <c r="B108" s="52"/>
      <c r="C108" s="53"/>
      <c r="D108" s="54"/>
      <c r="E108" s="55"/>
      <c r="F108" s="55"/>
      <c r="G108" s="55"/>
      <c r="H108" s="55"/>
      <c r="I108" s="55"/>
    </row>
    <row r="109" spans="2:9" x14ac:dyDescent="0.3">
      <c r="B109" s="50" t="s">
        <v>43</v>
      </c>
    </row>
    <row r="110" spans="2:9" ht="15.6" customHeight="1" x14ac:dyDescent="0.3"/>
    <row r="111" spans="2:9" ht="15.6" customHeight="1" x14ac:dyDescent="0.3"/>
    <row r="112" spans="2:9" ht="30.6" customHeight="1" x14ac:dyDescent="0.3">
      <c r="B112" s="35" t="s">
        <v>40</v>
      </c>
      <c r="C112" s="36" t="s">
        <v>10</v>
      </c>
      <c r="D112" s="36" t="s">
        <v>11</v>
      </c>
      <c r="E112" s="36" t="s">
        <v>12</v>
      </c>
      <c r="F112" s="36" t="s">
        <v>13</v>
      </c>
      <c r="G112" s="36" t="s">
        <v>14</v>
      </c>
      <c r="H112" s="36" t="s">
        <v>15</v>
      </c>
      <c r="I112" s="36" t="s">
        <v>16</v>
      </c>
    </row>
    <row r="113" spans="2:9" ht="7.05" customHeight="1" x14ac:dyDescent="0.3">
      <c r="B113" s="8"/>
      <c r="C113" s="4"/>
      <c r="D113" s="4"/>
      <c r="E113" s="4"/>
      <c r="F113" s="4"/>
      <c r="G113" s="4"/>
      <c r="H113" s="4"/>
      <c r="I113" s="4"/>
    </row>
    <row r="114" spans="2:9" ht="14.4" customHeight="1" x14ac:dyDescent="0.3">
      <c r="B114" s="8" t="s">
        <v>29</v>
      </c>
      <c r="C114" s="24"/>
      <c r="D114" s="24"/>
      <c r="E114" s="24"/>
      <c r="F114" s="24"/>
      <c r="G114" s="24"/>
      <c r="H114" s="24"/>
      <c r="I114" s="24"/>
    </row>
    <row r="115" spans="2:9" ht="14.4" customHeight="1" x14ac:dyDescent="0.3">
      <c r="B115" s="19" t="s">
        <v>58</v>
      </c>
      <c r="C115" s="42">
        <v>0</v>
      </c>
      <c r="D115" s="42">
        <v>0</v>
      </c>
      <c r="E115" s="42">
        <v>0</v>
      </c>
      <c r="F115" s="42">
        <v>0</v>
      </c>
      <c r="G115" s="42">
        <v>0</v>
      </c>
      <c r="H115" s="42">
        <v>0</v>
      </c>
      <c r="I115" s="42">
        <v>0</v>
      </c>
    </row>
    <row r="116" spans="2:9" ht="14.4" customHeight="1" x14ac:dyDescent="0.3">
      <c r="B116" s="19" t="s">
        <v>57</v>
      </c>
      <c r="C116" s="42"/>
      <c r="D116" s="42">
        <v>311.27107136791261</v>
      </c>
      <c r="E116" s="42"/>
      <c r="F116" s="42"/>
      <c r="G116" s="42"/>
      <c r="H116" s="42"/>
      <c r="I116" s="42"/>
    </row>
    <row r="117" spans="2:9" ht="14.4" customHeight="1" x14ac:dyDescent="0.3">
      <c r="B117" s="19" t="s">
        <v>50</v>
      </c>
      <c r="C117" s="42">
        <v>100</v>
      </c>
      <c r="D117" s="42">
        <v>100</v>
      </c>
      <c r="E117" s="42">
        <v>100</v>
      </c>
      <c r="F117" s="42">
        <v>100</v>
      </c>
      <c r="G117" s="42">
        <v>100</v>
      </c>
      <c r="H117" s="42">
        <v>100</v>
      </c>
      <c r="I117" s="42">
        <v>100</v>
      </c>
    </row>
    <row r="118" spans="2:9" ht="14.4" customHeight="1" x14ac:dyDescent="0.3">
      <c r="B118" s="19" t="s">
        <v>51</v>
      </c>
      <c r="C118" s="42">
        <v>100</v>
      </c>
      <c r="D118" s="42">
        <v>100</v>
      </c>
      <c r="E118" s="42">
        <v>100</v>
      </c>
      <c r="F118" s="42">
        <v>100</v>
      </c>
      <c r="G118" s="42">
        <v>100</v>
      </c>
      <c r="H118" s="42">
        <v>100</v>
      </c>
      <c r="I118" s="42">
        <v>100</v>
      </c>
    </row>
    <row r="119" spans="2:9" ht="14.4" customHeight="1" x14ac:dyDescent="0.3">
      <c r="B119" s="19" t="s">
        <v>52</v>
      </c>
      <c r="C119" s="42">
        <v>100</v>
      </c>
      <c r="D119" s="42">
        <v>100</v>
      </c>
      <c r="E119" s="42">
        <v>100</v>
      </c>
      <c r="F119" s="42">
        <v>100</v>
      </c>
      <c r="G119" s="42">
        <v>100</v>
      </c>
      <c r="H119" s="42">
        <v>100</v>
      </c>
      <c r="I119" s="42">
        <v>100</v>
      </c>
    </row>
    <row r="120" spans="2:9" ht="14.4" customHeight="1" x14ac:dyDescent="0.3">
      <c r="B120" s="19"/>
      <c r="C120" s="24"/>
      <c r="D120" s="24"/>
      <c r="E120" s="24"/>
      <c r="F120" s="24"/>
      <c r="G120" s="24"/>
      <c r="H120" s="24"/>
      <c r="I120" s="24"/>
    </row>
    <row r="121" spans="2:9" ht="14.4" customHeight="1" x14ac:dyDescent="0.3">
      <c r="B121" s="8" t="s">
        <v>48</v>
      </c>
      <c r="C121" s="24"/>
      <c r="D121" s="24"/>
      <c r="E121" s="24"/>
      <c r="F121" s="24"/>
      <c r="G121" s="24"/>
      <c r="H121" s="24"/>
      <c r="I121" s="24"/>
    </row>
    <row r="122" spans="2:9" ht="14.4" customHeight="1" x14ac:dyDescent="0.3">
      <c r="B122" s="19" t="s">
        <v>33</v>
      </c>
      <c r="C122" s="60">
        <f>C9*$I133</f>
        <v>248.043054723974</v>
      </c>
      <c r="D122" s="60">
        <f t="shared" ref="D122:I122" si="41">D9*$I133</f>
        <v>254.1699307727188</v>
      </c>
      <c r="E122" s="60">
        <f t="shared" si="41"/>
        <v>256.55213144872545</v>
      </c>
      <c r="F122" s="60">
        <f t="shared" si="41"/>
        <v>258.60420752238042</v>
      </c>
      <c r="G122" s="60">
        <f t="shared" si="41"/>
        <v>260.70219594682754</v>
      </c>
      <c r="H122" s="60">
        <f t="shared" si="41"/>
        <v>262.67580391388253</v>
      </c>
      <c r="I122" s="60">
        <f t="shared" si="41"/>
        <v>264.36704551695192</v>
      </c>
    </row>
    <row r="123" spans="2:9" ht="14.4" customHeight="1" x14ac:dyDescent="0.3">
      <c r="B123" s="19" t="s">
        <v>23</v>
      </c>
      <c r="C123" s="60">
        <f t="shared" ref="C123:I124" si="42">C10*$I134</f>
        <v>390.56838996457873</v>
      </c>
      <c r="D123" s="60">
        <f t="shared" si="42"/>
        <v>410.75927501284389</v>
      </c>
      <c r="E123" s="60">
        <f t="shared" si="42"/>
        <v>421.2712478258361</v>
      </c>
      <c r="F123" s="60">
        <f t="shared" si="42"/>
        <v>437.76701846231418</v>
      </c>
      <c r="G123" s="60">
        <f t="shared" si="42"/>
        <v>455.57779757788148</v>
      </c>
      <c r="H123" s="60">
        <f t="shared" si="42"/>
        <v>473.93665139107907</v>
      </c>
      <c r="I123" s="60">
        <f t="shared" si="42"/>
        <v>492.86989353329352</v>
      </c>
    </row>
    <row r="124" spans="2:9" ht="14.4" customHeight="1" x14ac:dyDescent="0.3">
      <c r="B124" s="19" t="s">
        <v>49</v>
      </c>
      <c r="C124" s="60">
        <f t="shared" si="42"/>
        <v>653.94754747011814</v>
      </c>
      <c r="D124" s="60">
        <f t="shared" si="42"/>
        <v>675.06187764683102</v>
      </c>
      <c r="E124" s="60">
        <f t="shared" si="42"/>
        <v>685.93540022171021</v>
      </c>
      <c r="F124" s="60">
        <f t="shared" si="42"/>
        <v>704.53387752499214</v>
      </c>
      <c r="G124" s="60">
        <f t="shared" si="42"/>
        <v>723.82296325894094</v>
      </c>
      <c r="H124" s="60">
        <f t="shared" si="42"/>
        <v>743.04241566166331</v>
      </c>
      <c r="I124" s="60">
        <f t="shared" si="42"/>
        <v>762.39497646475786</v>
      </c>
    </row>
    <row r="125" spans="2:9" ht="14.4" customHeight="1" x14ac:dyDescent="0.3">
      <c r="B125" s="21" t="s">
        <v>30</v>
      </c>
      <c r="C125" s="61">
        <f>SUM(C122:C124)</f>
        <v>1292.5589921586709</v>
      </c>
      <c r="D125" s="61">
        <f t="shared" ref="D125:I125" si="43">SUM(D122:D124)</f>
        <v>1339.9910834323937</v>
      </c>
      <c r="E125" s="61">
        <f t="shared" si="43"/>
        <v>1363.7587794962719</v>
      </c>
      <c r="F125" s="61">
        <f t="shared" si="43"/>
        <v>1400.9051035096868</v>
      </c>
      <c r="G125" s="61">
        <f t="shared" si="43"/>
        <v>1440.1029567836499</v>
      </c>
      <c r="H125" s="61">
        <f t="shared" si="43"/>
        <v>1479.6548709666249</v>
      </c>
      <c r="I125" s="61">
        <f t="shared" si="43"/>
        <v>1519.6319155150031</v>
      </c>
    </row>
    <row r="126" spans="2:9" ht="14.4" customHeight="1" x14ac:dyDescent="0.3">
      <c r="B126" s="21"/>
      <c r="C126" s="43"/>
      <c r="D126" s="43"/>
      <c r="E126" s="43"/>
      <c r="F126" s="43"/>
      <c r="G126" s="43"/>
      <c r="H126" s="43"/>
      <c r="I126" s="43"/>
    </row>
    <row r="127" spans="2:9" ht="7.05" customHeight="1" x14ac:dyDescent="0.3">
      <c r="B127" s="51"/>
      <c r="C127" s="44"/>
      <c r="D127" s="44"/>
      <c r="E127" s="44"/>
      <c r="F127" s="44"/>
      <c r="G127" s="44"/>
      <c r="H127" s="44"/>
      <c r="I127" s="44"/>
    </row>
    <row r="128" spans="2:9" x14ac:dyDescent="0.3">
      <c r="B128" s="22" t="s">
        <v>28</v>
      </c>
      <c r="C128" s="44"/>
      <c r="D128" s="44"/>
      <c r="E128" s="44"/>
      <c r="F128" s="44"/>
      <c r="G128" s="44"/>
      <c r="H128" s="44"/>
      <c r="I128" s="44"/>
    </row>
    <row r="129" spans="2:9" x14ac:dyDescent="0.3">
      <c r="B129" s="15" t="s">
        <v>55</v>
      </c>
      <c r="C129" s="45">
        <v>0</v>
      </c>
      <c r="D129" s="45">
        <v>0</v>
      </c>
      <c r="E129" s="45">
        <f>(E115/100)*$D$116</f>
        <v>0</v>
      </c>
      <c r="F129" s="45">
        <f t="shared" ref="F129:I129" si="44">(F115/100)*$D$116</f>
        <v>0</v>
      </c>
      <c r="G129" s="45">
        <f t="shared" si="44"/>
        <v>0</v>
      </c>
      <c r="H129" s="45">
        <f t="shared" si="44"/>
        <v>0</v>
      </c>
      <c r="I129" s="45">
        <f t="shared" si="44"/>
        <v>0</v>
      </c>
    </row>
    <row r="130" spans="2:9" x14ac:dyDescent="0.3">
      <c r="B130" s="15" t="s">
        <v>54</v>
      </c>
      <c r="C130" s="45">
        <v>0</v>
      </c>
      <c r="D130" s="45">
        <v>0</v>
      </c>
      <c r="E130" s="45">
        <f>E125-((E122*(E117/100))+(E118*(E123/100))+(E119*(E124/100)))</f>
        <v>0</v>
      </c>
      <c r="F130" s="45">
        <f t="shared" ref="F130:I130" si="45">F125-((F122*(F117/100))+(F118*(F123/100))+(F119*(F124/100)))</f>
        <v>0</v>
      </c>
      <c r="G130" s="45">
        <f t="shared" si="45"/>
        <v>0</v>
      </c>
      <c r="H130" s="45">
        <f t="shared" si="45"/>
        <v>0</v>
      </c>
      <c r="I130" s="45">
        <f t="shared" si="45"/>
        <v>0</v>
      </c>
    </row>
    <row r="131" spans="2:9" x14ac:dyDescent="0.3">
      <c r="B131" s="23" t="s">
        <v>30</v>
      </c>
      <c r="C131" s="46">
        <f t="shared" ref="C131:I131" si="46">SUM(C129:C130)</f>
        <v>0</v>
      </c>
      <c r="D131" s="46">
        <f t="shared" si="46"/>
        <v>0</v>
      </c>
      <c r="E131" s="46">
        <f t="shared" si="46"/>
        <v>0</v>
      </c>
      <c r="F131" s="46">
        <f t="shared" si="46"/>
        <v>0</v>
      </c>
      <c r="G131" s="46">
        <f t="shared" si="46"/>
        <v>0</v>
      </c>
      <c r="H131" s="46">
        <f t="shared" si="46"/>
        <v>0</v>
      </c>
      <c r="I131" s="46">
        <f t="shared" si="46"/>
        <v>0</v>
      </c>
    </row>
    <row r="132" spans="2:9" ht="7.05" customHeight="1" x14ac:dyDescent="0.3">
      <c r="B132" s="52"/>
      <c r="C132" s="53"/>
      <c r="D132" s="54"/>
      <c r="E132" s="55"/>
      <c r="F132" s="55"/>
      <c r="G132" s="55"/>
      <c r="H132" s="55"/>
      <c r="I132" s="55"/>
    </row>
    <row r="133" spans="2:9" x14ac:dyDescent="0.3">
      <c r="B133" s="50" t="s">
        <v>56</v>
      </c>
      <c r="I133" s="64">
        <v>8.2983796867731996E-2</v>
      </c>
    </row>
    <row r="134" spans="2:9" x14ac:dyDescent="0.3">
      <c r="B134" s="50" t="s">
        <v>53</v>
      </c>
      <c r="I134" s="64">
        <v>0.161205452168176</v>
      </c>
    </row>
    <row r="135" spans="2:9" x14ac:dyDescent="0.3">
      <c r="I135" s="64">
        <v>0.32577211110771798</v>
      </c>
    </row>
    <row r="136" spans="2:9" ht="20.399999999999999" customHeight="1" x14ac:dyDescent="0.3"/>
  </sheetData>
  <mergeCells count="1">
    <mergeCell ref="A1:B1"/>
  </mergeCells>
  <hyperlinks>
    <hyperlink ref="A1" location="Contents!A1" display="Back to contents" xr:uid="{12D0879B-A547-4947-96A4-E690821E0E2E}"/>
  </hyperlinks>
  <pageMargins left="0.7" right="0.7" top="0.75" bottom="0.75" header="0.3" footer="0.3"/>
  <pageSetup paperSize="9" scale="6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DF669-2865-4A78-94DF-8119B46FD45C}">
  <sheetPr>
    <tabColor theme="0"/>
    <pageSetUpPr fitToPage="1"/>
  </sheetPr>
  <dimension ref="A1:K136"/>
  <sheetViews>
    <sheetView zoomScaleNormal="100" workbookViewId="0">
      <selection sqref="A1:B1"/>
    </sheetView>
  </sheetViews>
  <sheetFormatPr defaultColWidth="0" defaultRowHeight="14.4" zeroHeight="1" x14ac:dyDescent="0.3"/>
  <cols>
    <col min="1" max="1" width="9.5546875" style="2" customWidth="1"/>
    <col min="2" max="2" width="47.88671875" style="2" bestFit="1" customWidth="1"/>
    <col min="3" max="9" width="10.77734375" style="2" customWidth="1"/>
    <col min="10" max="10" width="9.5546875" style="2" bestFit="1" customWidth="1"/>
  </cols>
  <sheetData>
    <row r="1" spans="1:11" x14ac:dyDescent="0.3">
      <c r="A1" s="186" t="s">
        <v>9</v>
      </c>
      <c r="B1" s="186"/>
      <c r="C1" s="1"/>
      <c r="D1" s="173"/>
      <c r="E1" s="173"/>
      <c r="F1" s="173"/>
      <c r="G1" s="173"/>
      <c r="H1" s="173"/>
      <c r="I1" s="173"/>
      <c r="J1" s="1"/>
      <c r="K1" s="13"/>
    </row>
    <row r="2" spans="1:11" x14ac:dyDescent="0.3">
      <c r="A2" s="1"/>
      <c r="B2" s="1"/>
      <c r="C2" s="1"/>
      <c r="D2" s="172"/>
      <c r="E2" s="1"/>
      <c r="F2" s="1"/>
      <c r="G2" s="1"/>
      <c r="H2" s="1"/>
      <c r="I2" s="1"/>
      <c r="J2" s="1"/>
      <c r="K2" s="13"/>
    </row>
    <row r="3" spans="1:11" ht="15.6" x14ac:dyDescent="0.3">
      <c r="A3" s="49">
        <v>2.2000000000000002</v>
      </c>
      <c r="B3" s="18" t="s">
        <v>60</v>
      </c>
      <c r="C3" s="1"/>
      <c r="J3" s="1"/>
      <c r="K3" s="13"/>
    </row>
    <row r="4" spans="1:11" ht="15.6" x14ac:dyDescent="0.3">
      <c r="A4" s="18"/>
      <c r="B4" s="18"/>
      <c r="C4" s="1"/>
      <c r="J4" s="1"/>
      <c r="K4" s="13"/>
    </row>
    <row r="5" spans="1:11" ht="15.6" x14ac:dyDescent="0.3">
      <c r="A5" s="18"/>
      <c r="B5" s="18"/>
      <c r="C5" s="1"/>
      <c r="D5" s="1"/>
      <c r="E5" s="1"/>
      <c r="F5" s="1"/>
      <c r="G5" s="1"/>
      <c r="H5" s="1"/>
      <c r="I5" s="69" t="s">
        <v>78</v>
      </c>
      <c r="J5" s="1"/>
      <c r="K5" s="13"/>
    </row>
    <row r="6" spans="1:11" ht="30.6" customHeight="1" x14ac:dyDescent="0.3">
      <c r="A6" s="18"/>
      <c r="B6" s="47" t="s">
        <v>38</v>
      </c>
      <c r="C6" s="48" t="s">
        <v>10</v>
      </c>
      <c r="D6" s="48" t="s">
        <v>11</v>
      </c>
      <c r="E6" s="48" t="s">
        <v>12</v>
      </c>
      <c r="F6" s="48" t="s">
        <v>13</v>
      </c>
      <c r="G6" s="48" t="s">
        <v>14</v>
      </c>
      <c r="H6" s="48" t="s">
        <v>15</v>
      </c>
      <c r="I6" s="48" t="s">
        <v>16</v>
      </c>
      <c r="J6" s="1"/>
      <c r="K6" s="13"/>
    </row>
    <row r="7" spans="1:11" ht="7.05" customHeight="1" x14ac:dyDescent="0.3">
      <c r="A7" s="18"/>
      <c r="B7" s="8"/>
      <c r="C7" s="4"/>
      <c r="D7" s="4"/>
      <c r="E7" s="4"/>
      <c r="F7" s="4"/>
      <c r="G7" s="4"/>
      <c r="H7" s="4"/>
      <c r="I7" s="4"/>
      <c r="J7" s="1"/>
      <c r="K7" s="13"/>
    </row>
    <row r="8" spans="1:11" ht="14.4" customHeight="1" x14ac:dyDescent="0.3">
      <c r="A8" s="18"/>
      <c r="B8" s="8" t="s">
        <v>44</v>
      </c>
      <c r="C8" s="4"/>
      <c r="D8" s="4"/>
      <c r="E8" s="4"/>
      <c r="F8" s="4"/>
      <c r="G8" s="4"/>
      <c r="H8" s="4"/>
      <c r="I8" s="4"/>
      <c r="J8" s="1"/>
      <c r="K8" s="13"/>
    </row>
    <row r="9" spans="1:11" ht="14.4" customHeight="1" x14ac:dyDescent="0.3">
      <c r="A9" s="18"/>
      <c r="B9" s="19" t="s">
        <v>33</v>
      </c>
      <c r="C9" s="58">
        <v>2989.0540573761673</v>
      </c>
      <c r="D9" s="58">
        <f>$C9+D17</f>
        <v>3068.999799922055</v>
      </c>
      <c r="E9" s="58">
        <f t="shared" ref="E9:I9" si="0">$C9+E17</f>
        <v>3117.3389509182266</v>
      </c>
      <c r="F9" s="58">
        <f t="shared" si="0"/>
        <v>3170.764643095446</v>
      </c>
      <c r="G9" s="58">
        <f t="shared" si="0"/>
        <v>3223.7042394215305</v>
      </c>
      <c r="H9" s="58">
        <f t="shared" si="0"/>
        <v>3282.6284035954141</v>
      </c>
      <c r="I9" s="58">
        <f t="shared" si="0"/>
        <v>3345.9048580188332</v>
      </c>
      <c r="J9" s="1"/>
      <c r="K9" s="13"/>
    </row>
    <row r="10" spans="1:11" ht="14.4" customHeight="1" x14ac:dyDescent="0.3">
      <c r="A10" s="18"/>
      <c r="B10" s="19" t="s">
        <v>23</v>
      </c>
      <c r="C10" s="58">
        <v>2422.7988862133652</v>
      </c>
      <c r="D10" s="58">
        <f t="shared" ref="D10:I11" si="1">$C10+D18</f>
        <v>2565.2903415668161</v>
      </c>
      <c r="E10" s="58">
        <f t="shared" si="1"/>
        <v>2674.9555755054307</v>
      </c>
      <c r="F10" s="58">
        <f t="shared" si="1"/>
        <v>2827.0714172068151</v>
      </c>
      <c r="G10" s="58">
        <f t="shared" si="1"/>
        <v>2986.834500986462</v>
      </c>
      <c r="H10" s="58">
        <f t="shared" si="1"/>
        <v>3161.2952507212121</v>
      </c>
      <c r="I10" s="58">
        <f t="shared" si="1"/>
        <v>3348.345025707456</v>
      </c>
      <c r="J10" s="1"/>
      <c r="K10" s="13"/>
    </row>
    <row r="11" spans="1:11" ht="14.4" customHeight="1" x14ac:dyDescent="0.3">
      <c r="A11" s="18"/>
      <c r="B11" s="19" t="s">
        <v>37</v>
      </c>
      <c r="C11" s="58">
        <v>2007.3773204419194</v>
      </c>
      <c r="D11" s="58">
        <f t="shared" si="1"/>
        <v>2072.1905118011127</v>
      </c>
      <c r="E11" s="58">
        <f t="shared" si="1"/>
        <v>2113.5267797214701</v>
      </c>
      <c r="F11" s="58">
        <f t="shared" si="1"/>
        <v>2180.8523152169769</v>
      </c>
      <c r="G11" s="58">
        <f t="shared" si="1"/>
        <v>2248.8489180516044</v>
      </c>
      <c r="H11" s="58">
        <f t="shared" si="1"/>
        <v>2321.2708373639293</v>
      </c>
      <c r="I11" s="58">
        <f t="shared" si="1"/>
        <v>2396.8411968923847</v>
      </c>
      <c r="J11" s="1"/>
      <c r="K11" s="13"/>
    </row>
    <row r="12" spans="1:11" ht="14.4" customHeight="1" x14ac:dyDescent="0.3">
      <c r="A12" s="18"/>
      <c r="B12" s="19" t="s">
        <v>41</v>
      </c>
      <c r="C12" s="58">
        <f>C20</f>
        <v>0</v>
      </c>
      <c r="D12" s="58">
        <f t="shared" ref="D12:I12" si="2">D20</f>
        <v>0</v>
      </c>
      <c r="E12" s="58">
        <f t="shared" si="2"/>
        <v>50.02440672495996</v>
      </c>
      <c r="F12" s="58">
        <f t="shared" si="2"/>
        <v>76.944915774704427</v>
      </c>
      <c r="G12" s="58">
        <f t="shared" si="2"/>
        <v>52.604090659515947</v>
      </c>
      <c r="H12" s="58">
        <f t="shared" si="2"/>
        <v>27.009630535531258</v>
      </c>
      <c r="I12" s="58">
        <f t="shared" si="2"/>
        <v>0</v>
      </c>
      <c r="J12" s="1"/>
      <c r="K12" s="13"/>
    </row>
    <row r="13" spans="1:11" ht="14.4" customHeight="1" x14ac:dyDescent="0.3">
      <c r="A13" s="18"/>
      <c r="B13" s="21" t="s">
        <v>42</v>
      </c>
      <c r="C13" s="59">
        <f>SUM(C9:C12)</f>
        <v>7419.230264031452</v>
      </c>
      <c r="D13" s="59">
        <f t="shared" ref="D13:I13" si="3">SUM(D9:D12)</f>
        <v>7706.4806532899838</v>
      </c>
      <c r="E13" s="59">
        <f t="shared" si="3"/>
        <v>7955.8457128700866</v>
      </c>
      <c r="F13" s="59">
        <f t="shared" si="3"/>
        <v>8255.6332912939415</v>
      </c>
      <c r="G13" s="59">
        <f t="shared" si="3"/>
        <v>8511.9917491191118</v>
      </c>
      <c r="H13" s="59">
        <f t="shared" si="3"/>
        <v>8792.204122216086</v>
      </c>
      <c r="I13" s="59">
        <f t="shared" si="3"/>
        <v>9091.091080618673</v>
      </c>
      <c r="J13" s="1"/>
      <c r="K13" s="13"/>
    </row>
    <row r="14" spans="1:11" ht="14.4" customHeight="1" x14ac:dyDescent="0.3">
      <c r="A14" s="18"/>
      <c r="B14" s="21"/>
      <c r="C14" s="4"/>
      <c r="D14" s="4"/>
      <c r="E14" s="4"/>
      <c r="F14" s="4"/>
      <c r="G14" s="4"/>
      <c r="H14" s="4"/>
      <c r="I14" s="58"/>
      <c r="J14" s="1"/>
      <c r="K14" s="13"/>
    </row>
    <row r="15" spans="1:11" ht="7.05" customHeight="1" x14ac:dyDescent="0.3">
      <c r="A15" s="18"/>
      <c r="B15" s="57"/>
      <c r="C15" s="56"/>
      <c r="D15" s="56"/>
      <c r="E15" s="56"/>
      <c r="F15" s="56"/>
      <c r="G15" s="56"/>
      <c r="H15" s="56"/>
      <c r="I15" s="56"/>
      <c r="J15" s="1"/>
      <c r="K15" s="13"/>
    </row>
    <row r="16" spans="1:11" ht="14.4" customHeight="1" x14ac:dyDescent="0.3">
      <c r="A16" s="18"/>
      <c r="B16" s="22" t="s">
        <v>28</v>
      </c>
      <c r="C16" s="44"/>
      <c r="D16" s="44"/>
      <c r="E16" s="44"/>
      <c r="F16" s="44"/>
      <c r="G16" s="44"/>
      <c r="H16" s="44"/>
      <c r="I16" s="44"/>
      <c r="J16" s="1"/>
      <c r="K16" s="13"/>
    </row>
    <row r="17" spans="1:11" ht="14.4" customHeight="1" x14ac:dyDescent="0.3">
      <c r="A17" s="18"/>
      <c r="B17" s="15" t="s">
        <v>33</v>
      </c>
      <c r="C17" s="45">
        <v>0</v>
      </c>
      <c r="D17" s="45">
        <f>D51</f>
        <v>79.945742545887811</v>
      </c>
      <c r="E17" s="45">
        <f t="shared" ref="E17:I17" si="4">E51</f>
        <v>128.28489354205931</v>
      </c>
      <c r="F17" s="45">
        <f t="shared" si="4"/>
        <v>181.71058571927858</v>
      </c>
      <c r="G17" s="45">
        <f t="shared" si="4"/>
        <v>234.65018204536341</v>
      </c>
      <c r="H17" s="45">
        <f t="shared" si="4"/>
        <v>293.57434621924699</v>
      </c>
      <c r="I17" s="45">
        <f t="shared" si="4"/>
        <v>356.85080064266594</v>
      </c>
      <c r="J17" s="1"/>
      <c r="K17" s="13"/>
    </row>
    <row r="18" spans="1:11" ht="14.4" customHeight="1" x14ac:dyDescent="0.3">
      <c r="A18" s="18"/>
      <c r="B18" s="15" t="s">
        <v>23</v>
      </c>
      <c r="C18" s="45">
        <v>0</v>
      </c>
      <c r="D18" s="45">
        <f>D82</f>
        <v>142.49145535345087</v>
      </c>
      <c r="E18" s="45">
        <f t="shared" ref="E18:I18" si="5">E82</f>
        <v>252.15668929206549</v>
      </c>
      <c r="F18" s="45">
        <f t="shared" si="5"/>
        <v>404.27253099345</v>
      </c>
      <c r="G18" s="45">
        <f t="shared" si="5"/>
        <v>564.03561477309688</v>
      </c>
      <c r="H18" s="45">
        <f t="shared" si="5"/>
        <v>738.49636450784681</v>
      </c>
      <c r="I18" s="45">
        <f t="shared" si="5"/>
        <v>925.54613949409088</v>
      </c>
      <c r="J18" s="1"/>
      <c r="K18" s="13"/>
    </row>
    <row r="19" spans="1:11" ht="14.4" customHeight="1" x14ac:dyDescent="0.3">
      <c r="A19" s="18"/>
      <c r="B19" s="15" t="s">
        <v>39</v>
      </c>
      <c r="C19" s="45">
        <v>0</v>
      </c>
      <c r="D19" s="45">
        <f>D107</f>
        <v>64.813191359193411</v>
      </c>
      <c r="E19" s="45">
        <f t="shared" ref="E19:I19" si="6">E107</f>
        <v>106.14945927955046</v>
      </c>
      <c r="F19" s="45">
        <f t="shared" si="6"/>
        <v>173.47499477505744</v>
      </c>
      <c r="G19" s="45">
        <f t="shared" si="6"/>
        <v>241.47159760968486</v>
      </c>
      <c r="H19" s="45">
        <f t="shared" si="6"/>
        <v>313.89351692200978</v>
      </c>
      <c r="I19" s="45">
        <f t="shared" si="6"/>
        <v>389.46387645046525</v>
      </c>
      <c r="J19" s="1"/>
      <c r="K19" s="13"/>
    </row>
    <row r="20" spans="1:11" ht="14.4" customHeight="1" x14ac:dyDescent="0.3">
      <c r="A20" s="18"/>
      <c r="B20" s="15" t="s">
        <v>40</v>
      </c>
      <c r="C20" s="45">
        <v>0</v>
      </c>
      <c r="D20" s="45">
        <f>D131</f>
        <v>0</v>
      </c>
      <c r="E20" s="45">
        <f t="shared" ref="E20:I20" si="7">E131</f>
        <v>50.02440672495996</v>
      </c>
      <c r="F20" s="45">
        <f t="shared" si="7"/>
        <v>76.944915774704427</v>
      </c>
      <c r="G20" s="45">
        <f t="shared" si="7"/>
        <v>52.604090659515947</v>
      </c>
      <c r="H20" s="45">
        <f t="shared" si="7"/>
        <v>27.009630535531258</v>
      </c>
      <c r="I20" s="45">
        <f t="shared" si="7"/>
        <v>0</v>
      </c>
      <c r="J20" s="1"/>
      <c r="K20" s="13"/>
    </row>
    <row r="21" spans="1:11" ht="14.4" customHeight="1" x14ac:dyDescent="0.3">
      <c r="A21" s="18"/>
      <c r="B21" s="23" t="s">
        <v>30</v>
      </c>
      <c r="C21" s="46">
        <f>SUM(C17:C20)</f>
        <v>0</v>
      </c>
      <c r="D21" s="46">
        <f t="shared" ref="D21:I21" si="8">SUM(D17:D20)</f>
        <v>287.2503892585321</v>
      </c>
      <c r="E21" s="46">
        <f t="shared" si="8"/>
        <v>536.61544883863519</v>
      </c>
      <c r="F21" s="46">
        <f t="shared" si="8"/>
        <v>836.40302726249047</v>
      </c>
      <c r="G21" s="46">
        <f t="shared" si="8"/>
        <v>1092.7614850876612</v>
      </c>
      <c r="H21" s="46">
        <f t="shared" si="8"/>
        <v>1372.9738581846348</v>
      </c>
      <c r="I21" s="46">
        <f t="shared" si="8"/>
        <v>1671.860816587222</v>
      </c>
      <c r="J21" s="1"/>
      <c r="K21" s="13"/>
    </row>
    <row r="22" spans="1:11" ht="7.05" customHeight="1" x14ac:dyDescent="0.3">
      <c r="A22" s="18"/>
      <c r="B22" s="52"/>
      <c r="C22" s="53"/>
      <c r="D22" s="54"/>
      <c r="E22" s="55"/>
      <c r="F22" s="55"/>
      <c r="G22" s="55"/>
      <c r="H22" s="55"/>
      <c r="I22" s="55"/>
      <c r="J22" s="1"/>
      <c r="K22" s="13"/>
    </row>
    <row r="23" spans="1:11" ht="15.6" x14ac:dyDescent="0.3">
      <c r="A23" s="18"/>
      <c r="B23" s="50" t="s">
        <v>59</v>
      </c>
      <c r="C23" s="1"/>
      <c r="D23" s="1"/>
      <c r="E23" s="1"/>
      <c r="F23" s="1"/>
      <c r="G23" s="1"/>
      <c r="H23" s="1"/>
      <c r="I23" s="49"/>
      <c r="J23" s="1"/>
      <c r="K23" s="13"/>
    </row>
    <row r="24" spans="1:11" ht="15.6" x14ac:dyDescent="0.3">
      <c r="A24" s="18"/>
      <c r="B24" s="50"/>
      <c r="C24" s="1"/>
      <c r="D24" s="1"/>
      <c r="E24" s="1"/>
      <c r="F24" s="1"/>
      <c r="G24" s="1"/>
      <c r="H24" s="1"/>
      <c r="I24" s="49"/>
      <c r="J24" s="1"/>
      <c r="K24" s="13"/>
    </row>
    <row r="25" spans="1:11" ht="15.6" x14ac:dyDescent="0.3">
      <c r="A25" s="18"/>
      <c r="B25" s="18"/>
      <c r="C25" s="1"/>
      <c r="D25" s="1"/>
      <c r="E25" s="1"/>
      <c r="F25" s="1"/>
      <c r="G25" s="1"/>
      <c r="H25" s="1"/>
      <c r="I25" s="1"/>
      <c r="J25" s="1"/>
      <c r="K25" s="13"/>
    </row>
    <row r="26" spans="1:11" ht="15.6" x14ac:dyDescent="0.3">
      <c r="A26" s="18"/>
      <c r="B26" s="18"/>
      <c r="C26" s="1"/>
      <c r="D26" s="1"/>
      <c r="E26" s="1"/>
      <c r="F26" s="1"/>
      <c r="G26" s="1"/>
      <c r="H26" s="1"/>
      <c r="I26" s="1"/>
      <c r="J26" s="1"/>
      <c r="K26" s="13"/>
    </row>
    <row r="27" spans="1:11" ht="30.6" customHeight="1" x14ac:dyDescent="0.3">
      <c r="A27" s="18"/>
      <c r="B27" s="35" t="s">
        <v>33</v>
      </c>
      <c r="C27" s="36" t="s">
        <v>10</v>
      </c>
      <c r="D27" s="36" t="s">
        <v>11</v>
      </c>
      <c r="E27" s="36" t="s">
        <v>12</v>
      </c>
      <c r="F27" s="36" t="s">
        <v>13</v>
      </c>
      <c r="G27" s="36" t="s">
        <v>14</v>
      </c>
      <c r="H27" s="36" t="s">
        <v>15</v>
      </c>
      <c r="I27" s="36" t="s">
        <v>16</v>
      </c>
      <c r="J27" s="1"/>
      <c r="K27" s="13"/>
    </row>
    <row r="28" spans="1:11" ht="7.05" customHeight="1" x14ac:dyDescent="0.3">
      <c r="A28" s="18"/>
      <c r="B28" s="8"/>
      <c r="C28" s="4"/>
      <c r="D28" s="4"/>
      <c r="E28" s="4"/>
      <c r="F28" s="4"/>
      <c r="G28" s="4"/>
      <c r="H28" s="4"/>
      <c r="I28" s="4"/>
      <c r="J28" s="1"/>
      <c r="K28" s="13"/>
    </row>
    <row r="29" spans="1:11" ht="14.4" customHeight="1" x14ac:dyDescent="0.3">
      <c r="A29" s="18"/>
      <c r="B29" s="8" t="s">
        <v>29</v>
      </c>
      <c r="C29" s="24"/>
      <c r="D29" s="24"/>
      <c r="E29" s="24"/>
      <c r="F29" s="24"/>
      <c r="G29" s="24"/>
      <c r="H29" s="24"/>
      <c r="I29" s="24"/>
      <c r="J29" s="1"/>
      <c r="K29" s="13"/>
    </row>
    <row r="30" spans="1:11" ht="14.4" customHeight="1" x14ac:dyDescent="0.3">
      <c r="A30" s="18"/>
      <c r="B30" s="19" t="s">
        <v>34</v>
      </c>
      <c r="C30" s="42">
        <v>100</v>
      </c>
      <c r="D30" s="42">
        <v>102.56442595240529</v>
      </c>
      <c r="E30" s="42">
        <v>105.03302508569506</v>
      </c>
      <c r="F30" s="42">
        <v>107.09534385811791</v>
      </c>
      <c r="G30" s="42">
        <v>109.66962440263335</v>
      </c>
      <c r="H30" s="42">
        <v>112.66561361433966</v>
      </c>
      <c r="I30" s="42">
        <v>116.34017597617313</v>
      </c>
      <c r="J30" s="1"/>
      <c r="K30" s="13"/>
    </row>
    <row r="31" spans="1:11" ht="14.4" customHeight="1" x14ac:dyDescent="0.3">
      <c r="A31" s="18"/>
      <c r="B31" s="19" t="s">
        <v>35</v>
      </c>
      <c r="C31" s="42">
        <v>100</v>
      </c>
      <c r="D31" s="42">
        <v>103.16609720855303</v>
      </c>
      <c r="E31" s="42">
        <v>104.74458400361287</v>
      </c>
      <c r="F31" s="42">
        <v>108.1776686201496</v>
      </c>
      <c r="G31" s="42">
        <v>111.67036992491136</v>
      </c>
      <c r="H31" s="42">
        <v>115.53070960660773</v>
      </c>
      <c r="I31" s="42">
        <v>119.62337632142211</v>
      </c>
      <c r="J31" s="1"/>
      <c r="K31" s="13"/>
    </row>
    <row r="32" spans="1:11" ht="14.4" customHeight="1" x14ac:dyDescent="0.3">
      <c r="A32" s="18"/>
      <c r="B32" s="19" t="s">
        <v>18</v>
      </c>
      <c r="C32" s="42">
        <v>100</v>
      </c>
      <c r="D32" s="42">
        <v>101.98358882499656</v>
      </c>
      <c r="E32" s="42">
        <v>103.96717764999312</v>
      </c>
      <c r="F32" s="42">
        <v>105.95076647498968</v>
      </c>
      <c r="G32" s="42">
        <v>107.93435529998624</v>
      </c>
      <c r="H32" s="42">
        <v>109.9179441249828</v>
      </c>
      <c r="I32" s="42">
        <v>111.9015329499794</v>
      </c>
      <c r="J32" s="1"/>
      <c r="K32" s="13"/>
    </row>
    <row r="33" spans="1:11" ht="14.4" customHeight="1" x14ac:dyDescent="0.3">
      <c r="A33" s="18"/>
      <c r="B33" s="19" t="s">
        <v>36</v>
      </c>
      <c r="C33" s="42">
        <v>100</v>
      </c>
      <c r="D33" s="42">
        <v>100.19039889452981</v>
      </c>
      <c r="E33" s="42">
        <v>99.956577979737943</v>
      </c>
      <c r="F33" s="42">
        <v>99.460188480089158</v>
      </c>
      <c r="G33" s="42">
        <v>98.739431469513448</v>
      </c>
      <c r="H33" s="42">
        <v>97.950978819453638</v>
      </c>
      <c r="I33" s="42">
        <v>96.999089738614956</v>
      </c>
      <c r="J33" s="1"/>
      <c r="K33" s="13"/>
    </row>
    <row r="34" spans="1:11" ht="14.4" customHeight="1" x14ac:dyDescent="0.3">
      <c r="A34" s="18"/>
      <c r="B34" s="19" t="s">
        <v>20</v>
      </c>
      <c r="C34" s="42">
        <v>100</v>
      </c>
      <c r="D34" s="42">
        <v>100.2</v>
      </c>
      <c r="E34" s="42">
        <v>100.4</v>
      </c>
      <c r="F34" s="42">
        <v>100.60000000000001</v>
      </c>
      <c r="G34" s="42">
        <v>100.80000000000001</v>
      </c>
      <c r="H34" s="42">
        <v>101.00000000000001</v>
      </c>
      <c r="I34" s="42">
        <v>101.20000000000002</v>
      </c>
      <c r="J34" s="1"/>
      <c r="K34" s="13"/>
    </row>
    <row r="35" spans="1:11" ht="14.4" customHeight="1" x14ac:dyDescent="0.3">
      <c r="A35" s="18"/>
      <c r="B35" s="19" t="s">
        <v>21</v>
      </c>
      <c r="C35" s="42">
        <v>0.5</v>
      </c>
      <c r="D35" s="42">
        <v>0.5</v>
      </c>
      <c r="E35" s="42">
        <v>0.5</v>
      </c>
      <c r="F35" s="42">
        <v>0.5</v>
      </c>
      <c r="G35" s="42">
        <v>0.5</v>
      </c>
      <c r="H35" s="42">
        <v>0.5</v>
      </c>
      <c r="I35" s="42">
        <v>0.5</v>
      </c>
      <c r="J35" s="1"/>
      <c r="K35" s="13"/>
    </row>
    <row r="36" spans="1:11" ht="14.4" customHeight="1" x14ac:dyDescent="0.3">
      <c r="A36" s="18"/>
      <c r="B36" s="19"/>
      <c r="C36" s="24"/>
      <c r="D36" s="24"/>
      <c r="E36" s="24"/>
      <c r="F36" s="24"/>
      <c r="G36" s="24"/>
      <c r="H36" s="24"/>
      <c r="I36" s="24"/>
      <c r="J36" s="1"/>
      <c r="K36" s="13"/>
    </row>
    <row r="37" spans="1:11" ht="14.4" customHeight="1" x14ac:dyDescent="0.3">
      <c r="A37" s="18"/>
      <c r="B37" s="20" t="s">
        <v>31</v>
      </c>
      <c r="C37" s="24"/>
      <c r="D37" s="24"/>
      <c r="E37" s="24"/>
      <c r="F37" s="24"/>
      <c r="G37" s="24"/>
      <c r="H37" s="24"/>
      <c r="I37" s="24"/>
      <c r="J37" s="1"/>
      <c r="K37" s="13"/>
    </row>
    <row r="38" spans="1:11" ht="14.4" customHeight="1" x14ac:dyDescent="0.3">
      <c r="A38" s="18"/>
      <c r="B38" s="19" t="s">
        <v>34</v>
      </c>
      <c r="C38" s="60">
        <v>1426.9544319450001</v>
      </c>
      <c r="D38" s="60">
        <f>$C38*(D$33/100)*(D$30/100)/(D$34/100)</f>
        <v>1463.407385448583</v>
      </c>
      <c r="E38" s="60">
        <f t="shared" ref="E38:I38" si="9">$C38*(E$33/100)*(E$30/100)/(E$34/100)</f>
        <v>1492.1539928027801</v>
      </c>
      <c r="F38" s="60">
        <f t="shared" si="9"/>
        <v>1510.8870243200754</v>
      </c>
      <c r="G38" s="60">
        <f t="shared" si="9"/>
        <v>1532.9449212743536</v>
      </c>
      <c r="H38" s="60">
        <f t="shared" si="9"/>
        <v>1559.1535844379227</v>
      </c>
      <c r="I38" s="60">
        <f t="shared" si="9"/>
        <v>1591.2080502616229</v>
      </c>
      <c r="J38" s="1"/>
      <c r="K38" s="13"/>
    </row>
    <row r="39" spans="1:11" ht="14.4" customHeight="1" x14ac:dyDescent="0.3">
      <c r="A39" s="18"/>
      <c r="B39" s="19" t="s">
        <v>35</v>
      </c>
      <c r="C39" s="60">
        <v>579.28343505599992</v>
      </c>
      <c r="D39" s="60">
        <f>$C39*(D$33/100)*(D$31/100)/(D$34/100)</f>
        <v>597.56684772962274</v>
      </c>
      <c r="E39" s="60">
        <f t="shared" ref="E39:I39" si="10">$C39*(E$33/100)*(E$31/100)/(E$34/100)</f>
        <v>604.08820051475288</v>
      </c>
      <c r="F39" s="60">
        <f t="shared" si="10"/>
        <v>619.5552258122915</v>
      </c>
      <c r="G39" s="60">
        <f t="shared" si="10"/>
        <v>633.66417545093054</v>
      </c>
      <c r="H39" s="60">
        <f t="shared" si="10"/>
        <v>649.04671634737338</v>
      </c>
      <c r="I39" s="60">
        <f t="shared" si="10"/>
        <v>664.19302731956236</v>
      </c>
      <c r="J39" s="1"/>
      <c r="K39" s="13"/>
    </row>
    <row r="40" spans="1:11" ht="14.4" customHeight="1" x14ac:dyDescent="0.3">
      <c r="A40" s="18"/>
      <c r="B40" s="21" t="s">
        <v>30</v>
      </c>
      <c r="C40" s="61">
        <f t="shared" ref="C40:I40" si="11">SUM(C38:C39)</f>
        <v>2006.237867001</v>
      </c>
      <c r="D40" s="61">
        <f t="shared" si="11"/>
        <v>2060.9742331782058</v>
      </c>
      <c r="E40" s="61">
        <f t="shared" si="11"/>
        <v>2096.2421933175328</v>
      </c>
      <c r="F40" s="61">
        <f t="shared" si="11"/>
        <v>2130.442250132367</v>
      </c>
      <c r="G40" s="61">
        <f t="shared" si="11"/>
        <v>2166.609096725284</v>
      </c>
      <c r="H40" s="61">
        <f t="shared" si="11"/>
        <v>2208.2003007852963</v>
      </c>
      <c r="I40" s="61">
        <f t="shared" si="11"/>
        <v>2255.4010775811853</v>
      </c>
      <c r="J40" s="1"/>
      <c r="K40" s="13"/>
    </row>
    <row r="41" spans="1:11" ht="14.4" customHeight="1" x14ac:dyDescent="0.3">
      <c r="A41" s="18"/>
      <c r="B41" s="19"/>
      <c r="C41" s="60"/>
      <c r="D41" s="60"/>
      <c r="E41" s="60"/>
      <c r="F41" s="60"/>
      <c r="G41" s="60"/>
      <c r="H41" s="60"/>
      <c r="I41" s="60"/>
      <c r="J41" s="1"/>
      <c r="K41" s="13"/>
    </row>
    <row r="42" spans="1:11" ht="14.4" customHeight="1" x14ac:dyDescent="0.3">
      <c r="A42" s="18"/>
      <c r="B42" s="20" t="s">
        <v>32</v>
      </c>
      <c r="C42" s="60"/>
      <c r="D42" s="60"/>
      <c r="E42" s="60"/>
      <c r="F42" s="60"/>
      <c r="G42" s="60"/>
      <c r="H42" s="60"/>
      <c r="I42" s="60"/>
      <c r="J42" s="1"/>
      <c r="K42" s="13"/>
    </row>
    <row r="43" spans="1:11" ht="14.4" customHeight="1" x14ac:dyDescent="0.3">
      <c r="A43" s="18"/>
      <c r="B43" s="19" t="s">
        <v>19</v>
      </c>
      <c r="C43" s="60">
        <v>982.81619037499991</v>
      </c>
      <c r="D43" s="60">
        <f>$C43*(D$33/100)*(((D$32*(1-D$35))+(D$31*D$35))/100)/(D$34/100)</f>
        <v>1008.025566743682</v>
      </c>
      <c r="E43" s="60">
        <f t="shared" ref="E43:I43" si="12">$C43*(E$33/100)*(((E$32*(1-E$35))+(E$31*E$35))/100)/(E$34/100)</f>
        <v>1021.0967576005263</v>
      </c>
      <c r="F43" s="60">
        <f t="shared" si="12"/>
        <v>1040.3223929629116</v>
      </c>
      <c r="G43" s="60">
        <f t="shared" si="12"/>
        <v>1057.0951426960792</v>
      </c>
      <c r="H43" s="60">
        <f t="shared" si="12"/>
        <v>1074.4281028099508</v>
      </c>
      <c r="I43" s="60">
        <f t="shared" si="12"/>
        <v>1090.5037804374806</v>
      </c>
      <c r="J43" s="1"/>
      <c r="K43" s="13"/>
    </row>
    <row r="44" spans="1:11" ht="14.4" customHeight="1" x14ac:dyDescent="0.3">
      <c r="A44" s="18"/>
      <c r="B44" s="21" t="s">
        <v>30</v>
      </c>
      <c r="C44" s="61">
        <f t="shared" ref="C44:I44" si="13">SUM(C43:C43)</f>
        <v>982.81619037499991</v>
      </c>
      <c r="D44" s="61">
        <f t="shared" si="13"/>
        <v>1008.025566743682</v>
      </c>
      <c r="E44" s="61">
        <f t="shared" si="13"/>
        <v>1021.0967576005263</v>
      </c>
      <c r="F44" s="61">
        <f t="shared" si="13"/>
        <v>1040.3223929629116</v>
      </c>
      <c r="G44" s="61">
        <f t="shared" si="13"/>
        <v>1057.0951426960792</v>
      </c>
      <c r="H44" s="61">
        <f t="shared" si="13"/>
        <v>1074.4281028099508</v>
      </c>
      <c r="I44" s="61">
        <f t="shared" si="13"/>
        <v>1090.5037804374806</v>
      </c>
      <c r="J44" s="1"/>
      <c r="K44" s="13"/>
    </row>
    <row r="45" spans="1:11" ht="14.4" customHeight="1" x14ac:dyDescent="0.3">
      <c r="A45" s="18"/>
      <c r="B45" s="21"/>
      <c r="C45" s="43"/>
      <c r="D45" s="43"/>
      <c r="E45" s="43"/>
      <c r="F45" s="43"/>
      <c r="G45" s="43"/>
      <c r="H45" s="43"/>
      <c r="I45" s="43"/>
      <c r="J45" s="1"/>
      <c r="K45" s="13"/>
    </row>
    <row r="46" spans="1:11" ht="7.05" customHeight="1" x14ac:dyDescent="0.3">
      <c r="A46" s="18"/>
      <c r="B46" s="51"/>
      <c r="C46" s="44"/>
      <c r="D46" s="44"/>
      <c r="E46" s="44"/>
      <c r="F46" s="44"/>
      <c r="G46" s="44"/>
      <c r="H46" s="44"/>
      <c r="I46" s="44"/>
      <c r="J46" s="1"/>
      <c r="K46" s="13"/>
    </row>
    <row r="47" spans="1:11" ht="14.4" customHeight="1" x14ac:dyDescent="0.3">
      <c r="A47" s="18"/>
      <c r="B47" s="22" t="s">
        <v>28</v>
      </c>
      <c r="C47" s="44"/>
      <c r="D47" s="44"/>
      <c r="E47" s="44"/>
      <c r="F47" s="44"/>
      <c r="G47" s="44"/>
      <c r="H47" s="44"/>
      <c r="I47" s="44"/>
      <c r="J47" s="1"/>
      <c r="K47" s="13"/>
    </row>
    <row r="48" spans="1:11" ht="14.4" customHeight="1" x14ac:dyDescent="0.3">
      <c r="A48" s="18"/>
      <c r="B48" s="15" t="s">
        <v>34</v>
      </c>
      <c r="C48" s="45">
        <v>0</v>
      </c>
      <c r="D48" s="45">
        <f>D38-$C38</f>
        <v>36.452953503582876</v>
      </c>
      <c r="E48" s="45">
        <f t="shared" ref="E48:I49" si="14">E38-$C38</f>
        <v>65.199560857779943</v>
      </c>
      <c r="F48" s="45">
        <f t="shared" si="14"/>
        <v>83.932592375075274</v>
      </c>
      <c r="G48" s="45">
        <f t="shared" si="14"/>
        <v>105.99048932935352</v>
      </c>
      <c r="H48" s="45">
        <f t="shared" si="14"/>
        <v>132.19915249292262</v>
      </c>
      <c r="I48" s="45">
        <f t="shared" si="14"/>
        <v>164.25361831662281</v>
      </c>
      <c r="J48" s="1"/>
      <c r="K48" s="13"/>
    </row>
    <row r="49" spans="1:11" ht="14.4" customHeight="1" x14ac:dyDescent="0.3">
      <c r="A49" s="18"/>
      <c r="B49" s="15" t="s">
        <v>35</v>
      </c>
      <c r="C49" s="45">
        <v>0</v>
      </c>
      <c r="D49" s="45">
        <f>D39-$C39</f>
        <v>18.28341267362282</v>
      </c>
      <c r="E49" s="45">
        <f t="shared" si="14"/>
        <v>24.804765458752968</v>
      </c>
      <c r="F49" s="45">
        <f t="shared" si="14"/>
        <v>40.27179075629158</v>
      </c>
      <c r="G49" s="45">
        <f t="shared" si="14"/>
        <v>54.380740394930626</v>
      </c>
      <c r="H49" s="45">
        <f t="shared" si="14"/>
        <v>69.76328129137346</v>
      </c>
      <c r="I49" s="45">
        <f t="shared" si="14"/>
        <v>84.909592263562445</v>
      </c>
      <c r="J49" s="1"/>
      <c r="K49" s="13"/>
    </row>
    <row r="50" spans="1:11" ht="14.4" customHeight="1" x14ac:dyDescent="0.3">
      <c r="A50" s="18"/>
      <c r="B50" s="15" t="s">
        <v>19</v>
      </c>
      <c r="C50" s="45">
        <v>0</v>
      </c>
      <c r="D50" s="45">
        <f>D43-$C43</f>
        <v>25.209376368682115</v>
      </c>
      <c r="E50" s="45">
        <f t="shared" ref="E50:I50" si="15">E43-$C43</f>
        <v>38.280567225526397</v>
      </c>
      <c r="F50" s="45">
        <f t="shared" si="15"/>
        <v>57.50620258791173</v>
      </c>
      <c r="G50" s="45">
        <f t="shared" si="15"/>
        <v>74.278952321079259</v>
      </c>
      <c r="H50" s="45">
        <f t="shared" si="15"/>
        <v>91.611912434950909</v>
      </c>
      <c r="I50" s="45">
        <f t="shared" si="15"/>
        <v>107.68759006248069</v>
      </c>
      <c r="J50" s="1"/>
      <c r="K50" s="13"/>
    </row>
    <row r="51" spans="1:11" ht="14.4" customHeight="1" x14ac:dyDescent="0.3">
      <c r="A51" s="18"/>
      <c r="B51" s="23" t="s">
        <v>30</v>
      </c>
      <c r="C51" s="46">
        <f>SUM(C48:C50)</f>
        <v>0</v>
      </c>
      <c r="D51" s="46">
        <f t="shared" ref="D51:I51" si="16">SUM(D48:D50)</f>
        <v>79.945742545887811</v>
      </c>
      <c r="E51" s="46">
        <f t="shared" si="16"/>
        <v>128.28489354205931</v>
      </c>
      <c r="F51" s="46">
        <f t="shared" si="16"/>
        <v>181.71058571927858</v>
      </c>
      <c r="G51" s="46">
        <f t="shared" si="16"/>
        <v>234.65018204536341</v>
      </c>
      <c r="H51" s="46">
        <f t="shared" si="16"/>
        <v>293.57434621924699</v>
      </c>
      <c r="I51" s="46">
        <f t="shared" si="16"/>
        <v>356.85080064266594</v>
      </c>
      <c r="J51" s="1"/>
      <c r="K51" s="13"/>
    </row>
    <row r="52" spans="1:11" ht="7.05" customHeight="1" x14ac:dyDescent="0.3">
      <c r="A52" s="18"/>
      <c r="B52" s="52"/>
      <c r="C52" s="53"/>
      <c r="D52" s="54"/>
      <c r="E52" s="55"/>
      <c r="F52" s="55"/>
      <c r="G52" s="55"/>
      <c r="H52" s="55"/>
      <c r="I52" s="55"/>
      <c r="J52" s="1"/>
      <c r="K52" s="13"/>
    </row>
    <row r="53" spans="1:11" ht="15.6" customHeight="1" x14ac:dyDescent="0.3">
      <c r="A53" s="18"/>
      <c r="B53" s="18"/>
      <c r="C53" s="1"/>
      <c r="D53" s="1"/>
      <c r="E53" s="1"/>
      <c r="F53" s="1"/>
      <c r="G53" s="1"/>
      <c r="H53" s="1"/>
      <c r="I53" s="1"/>
      <c r="J53" s="1"/>
      <c r="K53" s="13"/>
    </row>
    <row r="54" spans="1:11" ht="15.6" customHeight="1" x14ac:dyDescent="0.3">
      <c r="A54" s="1"/>
      <c r="B54" s="5"/>
      <c r="C54" s="5"/>
      <c r="D54" s="5"/>
      <c r="E54" s="5"/>
      <c r="F54" s="5"/>
      <c r="G54" s="5"/>
      <c r="H54" s="5"/>
      <c r="I54" s="5"/>
      <c r="J54" s="1"/>
      <c r="K54" s="13"/>
    </row>
    <row r="55" spans="1:11" ht="30.6" customHeight="1" x14ac:dyDescent="0.3">
      <c r="A55" s="4"/>
      <c r="B55" s="35" t="s">
        <v>23</v>
      </c>
      <c r="C55" s="36" t="s">
        <v>10</v>
      </c>
      <c r="D55" s="36" t="s">
        <v>11</v>
      </c>
      <c r="E55" s="36" t="s">
        <v>12</v>
      </c>
      <c r="F55" s="36" t="s">
        <v>13</v>
      </c>
      <c r="G55" s="36" t="s">
        <v>14</v>
      </c>
      <c r="H55" s="36" t="s">
        <v>15</v>
      </c>
      <c r="I55" s="36" t="s">
        <v>16</v>
      </c>
      <c r="J55" s="4"/>
      <c r="K55" s="13"/>
    </row>
    <row r="56" spans="1:11" ht="7.05" customHeight="1" x14ac:dyDescent="0.3">
      <c r="A56" s="4"/>
      <c r="B56" s="8"/>
      <c r="C56" s="4"/>
      <c r="D56" s="4"/>
      <c r="E56" s="4"/>
      <c r="F56" s="4"/>
      <c r="G56" s="4"/>
      <c r="H56" s="4"/>
      <c r="I56" s="4"/>
      <c r="J56" s="4"/>
      <c r="K56" s="13"/>
    </row>
    <row r="57" spans="1:11" x14ac:dyDescent="0.3">
      <c r="A57" s="4"/>
      <c r="B57" s="8" t="s">
        <v>29</v>
      </c>
      <c r="C57" s="24"/>
      <c r="D57" s="24"/>
      <c r="E57" s="24"/>
      <c r="F57" s="24"/>
      <c r="G57" s="24"/>
      <c r="H57" s="24"/>
      <c r="I57" s="24"/>
      <c r="J57" s="4"/>
      <c r="K57" s="16"/>
    </row>
    <row r="58" spans="1:11" x14ac:dyDescent="0.3">
      <c r="A58" s="4"/>
      <c r="B58" s="19" t="s">
        <v>17</v>
      </c>
      <c r="C58" s="42">
        <v>100</v>
      </c>
      <c r="D58" s="42">
        <v>103.16609720855303</v>
      </c>
      <c r="E58" s="42">
        <v>104.74458400361287</v>
      </c>
      <c r="F58" s="42">
        <v>108.1776686201496</v>
      </c>
      <c r="G58" s="42">
        <v>111.67036992491136</v>
      </c>
      <c r="H58" s="42">
        <v>115.53070960660773</v>
      </c>
      <c r="I58" s="42">
        <v>119.62337632142211</v>
      </c>
      <c r="J58" s="24"/>
      <c r="K58" s="16"/>
    </row>
    <row r="59" spans="1:11" x14ac:dyDescent="0.3">
      <c r="A59" s="4"/>
      <c r="B59" s="19" t="s">
        <v>18</v>
      </c>
      <c r="C59" s="42">
        <v>100</v>
      </c>
      <c r="D59" s="42">
        <v>101.98358882499656</v>
      </c>
      <c r="E59" s="42">
        <v>103.96717764999312</v>
      </c>
      <c r="F59" s="42">
        <v>105.95076647498968</v>
      </c>
      <c r="G59" s="42">
        <v>107.93435529998624</v>
      </c>
      <c r="H59" s="42">
        <v>109.9179441249828</v>
      </c>
      <c r="I59" s="42">
        <v>111.9015329499794</v>
      </c>
      <c r="J59" s="24"/>
      <c r="K59" s="16"/>
    </row>
    <row r="60" spans="1:11" x14ac:dyDescent="0.3">
      <c r="A60" s="4"/>
      <c r="B60" s="19" t="s">
        <v>27</v>
      </c>
      <c r="C60" s="42">
        <v>100</v>
      </c>
      <c r="D60" s="42">
        <v>104.90124359912217</v>
      </c>
      <c r="E60" s="42">
        <v>109.08222354750643</v>
      </c>
      <c r="F60" s="42">
        <v>113.42984206688411</v>
      </c>
      <c r="G60" s="42">
        <v>117.95074076130155</v>
      </c>
      <c r="H60" s="42">
        <v>122.65182594485411</v>
      </c>
      <c r="I60" s="42">
        <v>127.54027919206081</v>
      </c>
      <c r="J60" s="25"/>
      <c r="K60" s="16"/>
    </row>
    <row r="61" spans="1:11" x14ac:dyDescent="0.3">
      <c r="A61" s="4"/>
      <c r="B61" s="19" t="s">
        <v>22</v>
      </c>
      <c r="C61" s="42">
        <v>100</v>
      </c>
      <c r="D61" s="42">
        <v>101.98523831229416</v>
      </c>
      <c r="E61" s="42">
        <v>104.00988833615432</v>
      </c>
      <c r="F61" s="42">
        <v>106.07473248797803</v>
      </c>
      <c r="G61" s="42">
        <v>108.18056871699291</v>
      </c>
      <c r="H61" s="42">
        <v>110.32821081362036</v>
      </c>
      <c r="I61" s="42">
        <v>112.51848872396101</v>
      </c>
      <c r="J61" s="25"/>
      <c r="K61" s="16"/>
    </row>
    <row r="62" spans="1:11" x14ac:dyDescent="0.3">
      <c r="A62" s="4"/>
      <c r="B62" s="19" t="s">
        <v>20</v>
      </c>
      <c r="C62" s="42">
        <v>100</v>
      </c>
      <c r="D62" s="42">
        <v>100</v>
      </c>
      <c r="E62" s="42">
        <v>100</v>
      </c>
      <c r="F62" s="42">
        <v>100</v>
      </c>
      <c r="G62" s="42">
        <v>100</v>
      </c>
      <c r="H62" s="42">
        <v>100</v>
      </c>
      <c r="I62" s="42">
        <v>100</v>
      </c>
      <c r="J62" s="25"/>
      <c r="K62" s="16"/>
    </row>
    <row r="63" spans="1:11" x14ac:dyDescent="0.3">
      <c r="A63" s="4"/>
      <c r="B63" s="19" t="s">
        <v>21</v>
      </c>
      <c r="C63" s="42">
        <v>0.7</v>
      </c>
      <c r="D63" s="42">
        <v>0.7</v>
      </c>
      <c r="E63" s="42">
        <v>0.7</v>
      </c>
      <c r="F63" s="42">
        <v>0.7</v>
      </c>
      <c r="G63" s="42">
        <v>0.7</v>
      </c>
      <c r="H63" s="42">
        <v>0.7</v>
      </c>
      <c r="I63" s="42">
        <v>0.7</v>
      </c>
      <c r="J63" s="25"/>
      <c r="K63" s="16"/>
    </row>
    <row r="64" spans="1:11" x14ac:dyDescent="0.3">
      <c r="A64" s="4"/>
      <c r="B64" s="19"/>
      <c r="C64" s="24"/>
      <c r="D64" s="24"/>
      <c r="E64" s="24"/>
      <c r="F64" s="24"/>
      <c r="G64" s="24"/>
      <c r="H64" s="24"/>
      <c r="I64" s="24"/>
      <c r="J64" s="25"/>
      <c r="K64" s="16"/>
    </row>
    <row r="65" spans="1:11" x14ac:dyDescent="0.3">
      <c r="A65" s="4"/>
      <c r="B65" s="20" t="s">
        <v>31</v>
      </c>
      <c r="C65" s="24"/>
      <c r="D65" s="24"/>
      <c r="E65" s="24"/>
      <c r="F65" s="24"/>
      <c r="G65" s="24"/>
      <c r="H65" s="24"/>
      <c r="I65" s="24"/>
      <c r="J65" s="27"/>
      <c r="K65" s="16"/>
    </row>
    <row r="66" spans="1:11" x14ac:dyDescent="0.3">
      <c r="A66" s="4"/>
      <c r="B66" s="19" t="s">
        <v>24</v>
      </c>
      <c r="C66" s="60">
        <v>255.37531430545144</v>
      </c>
      <c r="D66" s="60">
        <f>$C66*(D$61/100)*(D$58/100)/(D$62/100)</f>
        <v>268.69106865066527</v>
      </c>
      <c r="E66" s="60">
        <f t="shared" ref="E66:I67" si="17">$C66*(E$61/100)*(E$58/100)/(E$62/100)</f>
        <v>278.21793353126964</v>
      </c>
      <c r="F66" s="60">
        <f t="shared" si="17"/>
        <v>293.0410601915724</v>
      </c>
      <c r="G66" s="60">
        <f t="shared" si="17"/>
        <v>308.50778609999463</v>
      </c>
      <c r="H66" s="60">
        <f t="shared" si="17"/>
        <v>325.5089471068186</v>
      </c>
      <c r="I66" s="60">
        <f t="shared" si="17"/>
        <v>343.73112586062086</v>
      </c>
      <c r="J66" s="27"/>
      <c r="K66" s="16"/>
    </row>
    <row r="67" spans="1:11" x14ac:dyDescent="0.3">
      <c r="A67" s="4"/>
      <c r="B67" s="19" t="s">
        <v>25</v>
      </c>
      <c r="C67" s="60">
        <v>222.28101415659935</v>
      </c>
      <c r="D67" s="60">
        <f t="shared" ref="D67" si="18">$C67*(D$61/100)*(D$58/100)/(D$62/100)</f>
        <v>233.87116878123169</v>
      </c>
      <c r="E67" s="60">
        <f t="shared" si="17"/>
        <v>242.1634392896519</v>
      </c>
      <c r="F67" s="60">
        <f t="shared" si="17"/>
        <v>255.0656245928204</v>
      </c>
      <c r="G67" s="60">
        <f t="shared" si="17"/>
        <v>268.52800458031652</v>
      </c>
      <c r="H67" s="60">
        <f t="shared" si="17"/>
        <v>283.32597094098207</v>
      </c>
      <c r="I67" s="60">
        <f t="shared" si="17"/>
        <v>299.18672233958176</v>
      </c>
      <c r="J67" s="27"/>
      <c r="K67" s="16"/>
    </row>
    <row r="68" spans="1:11" x14ac:dyDescent="0.3">
      <c r="A68" s="4"/>
      <c r="B68" s="19" t="s">
        <v>26</v>
      </c>
      <c r="C68" s="60">
        <v>213.07913410089643</v>
      </c>
      <c r="D68" s="60">
        <f>$C68*(D$60/100)*(D$58/100)/(D$62/100)</f>
        <v>230.5996062690156</v>
      </c>
      <c r="E68" s="60">
        <f t="shared" ref="E68:I68" si="19">$C68*(E$60/100)*(E$58/100)/(E$62/100)</f>
        <v>243.45936313986485</v>
      </c>
      <c r="F68" s="60">
        <f t="shared" si="19"/>
        <v>261.46036806058703</v>
      </c>
      <c r="G68" s="60">
        <f t="shared" si="19"/>
        <v>280.65937307940817</v>
      </c>
      <c r="H68" s="60">
        <f t="shared" si="19"/>
        <v>301.93425138715759</v>
      </c>
      <c r="I68" s="60">
        <f t="shared" si="19"/>
        <v>325.09054804240293</v>
      </c>
      <c r="J68" s="27"/>
      <c r="K68" s="16"/>
    </row>
    <row r="69" spans="1:11" x14ac:dyDescent="0.3">
      <c r="A69" s="4"/>
      <c r="B69" s="21" t="s">
        <v>30</v>
      </c>
      <c r="C69" s="61">
        <f>SUM(C66:C68)</f>
        <v>690.73546256294719</v>
      </c>
      <c r="D69" s="61">
        <f t="shared" ref="D69:I69" si="20">SUM(D66:D68)</f>
        <v>733.16184370091253</v>
      </c>
      <c r="E69" s="61">
        <f t="shared" si="20"/>
        <v>763.84073596078645</v>
      </c>
      <c r="F69" s="61">
        <f t="shared" si="20"/>
        <v>809.5670528449798</v>
      </c>
      <c r="G69" s="61">
        <f t="shared" si="20"/>
        <v>857.69516375971932</v>
      </c>
      <c r="H69" s="61">
        <f t="shared" si="20"/>
        <v>910.76916943495826</v>
      </c>
      <c r="I69" s="61">
        <f t="shared" si="20"/>
        <v>968.0083962426055</v>
      </c>
      <c r="J69" s="27"/>
      <c r="K69" s="16"/>
    </row>
    <row r="70" spans="1:11" x14ac:dyDescent="0.3">
      <c r="A70" s="4"/>
      <c r="B70" s="19"/>
      <c r="C70" s="60"/>
      <c r="D70" s="60"/>
      <c r="E70" s="60"/>
      <c r="F70" s="60"/>
      <c r="G70" s="60"/>
      <c r="H70" s="60"/>
      <c r="I70" s="60"/>
      <c r="J70" s="27"/>
      <c r="K70" s="16"/>
    </row>
    <row r="71" spans="1:11" s="14" customFormat="1" x14ac:dyDescent="0.3">
      <c r="A71" s="28"/>
      <c r="B71" s="20" t="s">
        <v>32</v>
      </c>
      <c r="C71" s="60"/>
      <c r="D71" s="60"/>
      <c r="E71" s="60"/>
      <c r="F71" s="60"/>
      <c r="G71" s="60"/>
      <c r="H71" s="60"/>
      <c r="I71" s="60"/>
      <c r="J71" s="29"/>
      <c r="K71" s="17"/>
    </row>
    <row r="72" spans="1:11" s="14" customFormat="1" x14ac:dyDescent="0.3">
      <c r="A72" s="28"/>
      <c r="B72" s="19" t="s">
        <v>24</v>
      </c>
      <c r="C72" s="60">
        <v>640.36996098400243</v>
      </c>
      <c r="D72" s="60">
        <f t="shared" ref="D72:I73" si="21">$C72*(D$61/100)*(((D$59*(1-D$63))+(D$58*D$63))/100)/(D$62/100)</f>
        <v>671.44324029735992</v>
      </c>
      <c r="E72" s="60">
        <f t="shared" si="21"/>
        <v>696.09592205141416</v>
      </c>
      <c r="F72" s="60">
        <f t="shared" si="21"/>
        <v>730.28122352074581</v>
      </c>
      <c r="G72" s="60">
        <f t="shared" si="21"/>
        <v>765.83859975016492</v>
      </c>
      <c r="H72" s="60">
        <f t="shared" si="21"/>
        <v>804.33813499682583</v>
      </c>
      <c r="I72" s="60">
        <f t="shared" si="21"/>
        <v>845.23625285598166</v>
      </c>
      <c r="J72" s="29"/>
      <c r="K72" s="17"/>
    </row>
    <row r="73" spans="1:11" s="14" customFormat="1" x14ac:dyDescent="0.3">
      <c r="A73" s="28"/>
      <c r="B73" s="19" t="s">
        <v>25</v>
      </c>
      <c r="C73" s="60">
        <v>557.38388320764761</v>
      </c>
      <c r="D73" s="60">
        <f t="shared" si="21"/>
        <v>584.43035031716238</v>
      </c>
      <c r="E73" s="60">
        <f t="shared" si="21"/>
        <v>605.88827046451354</v>
      </c>
      <c r="F73" s="60">
        <f t="shared" si="21"/>
        <v>635.64347018112881</v>
      </c>
      <c r="G73" s="60">
        <f t="shared" si="21"/>
        <v>666.59293634436756</v>
      </c>
      <c r="H73" s="60">
        <f t="shared" si="21"/>
        <v>700.10328468191199</v>
      </c>
      <c r="I73" s="60">
        <f t="shared" si="21"/>
        <v>735.7013813090424</v>
      </c>
      <c r="J73" s="29"/>
      <c r="K73" s="17"/>
    </row>
    <row r="74" spans="1:11" s="14" customFormat="1" x14ac:dyDescent="0.3">
      <c r="A74" s="28"/>
      <c r="B74" s="19" t="s">
        <v>26</v>
      </c>
      <c r="C74" s="60">
        <v>534.30957945876651</v>
      </c>
      <c r="D74" s="60">
        <f t="shared" ref="D74:I74" si="22">$C74*(D$60/100)*(((D$59*(1-D$63))+(D$58*D$63))/100)/(D$62/100)</f>
        <v>576.2549072513799</v>
      </c>
      <c r="E74" s="60">
        <f t="shared" si="22"/>
        <v>609.13064702871509</v>
      </c>
      <c r="F74" s="60">
        <f t="shared" si="22"/>
        <v>651.57967065995922</v>
      </c>
      <c r="G74" s="60">
        <f t="shared" si="22"/>
        <v>696.70780113220883</v>
      </c>
      <c r="H74" s="60">
        <f t="shared" si="22"/>
        <v>746.08466160751448</v>
      </c>
      <c r="I74" s="60">
        <f t="shared" si="22"/>
        <v>799.39899529982517</v>
      </c>
      <c r="J74" s="29"/>
      <c r="K74" s="17"/>
    </row>
    <row r="75" spans="1:11" s="14" customFormat="1" x14ac:dyDescent="0.3">
      <c r="A75" s="28"/>
      <c r="B75" s="21" t="s">
        <v>30</v>
      </c>
      <c r="C75" s="61">
        <f>SUM(C72:C74)</f>
        <v>1732.0634236504166</v>
      </c>
      <c r="D75" s="61">
        <f t="shared" ref="D75:I75" si="23">SUM(D72:D74)</f>
        <v>1832.1284978659023</v>
      </c>
      <c r="E75" s="61">
        <f t="shared" si="23"/>
        <v>1911.1148395446426</v>
      </c>
      <c r="F75" s="61">
        <f t="shared" si="23"/>
        <v>2017.504364361834</v>
      </c>
      <c r="G75" s="61">
        <f t="shared" si="23"/>
        <v>2129.1393372267412</v>
      </c>
      <c r="H75" s="61">
        <f t="shared" si="23"/>
        <v>2250.5260812862525</v>
      </c>
      <c r="I75" s="61">
        <f t="shared" si="23"/>
        <v>2380.3366294648495</v>
      </c>
      <c r="J75" s="29"/>
      <c r="K75" s="17"/>
    </row>
    <row r="76" spans="1:11" s="14" customFormat="1" x14ac:dyDescent="0.3">
      <c r="A76" s="28"/>
      <c r="B76" s="21"/>
      <c r="C76" s="43"/>
      <c r="D76" s="43"/>
      <c r="E76" s="43"/>
      <c r="F76" s="43"/>
      <c r="G76" s="43"/>
      <c r="H76" s="43"/>
      <c r="I76" s="43"/>
      <c r="J76" s="29"/>
      <c r="K76" s="17"/>
    </row>
    <row r="77" spans="1:11" ht="7.05" customHeight="1" x14ac:dyDescent="0.3">
      <c r="A77" s="4"/>
      <c r="B77" s="51"/>
      <c r="C77" s="44"/>
      <c r="D77" s="44"/>
      <c r="E77" s="44"/>
      <c r="F77" s="44"/>
      <c r="G77" s="44"/>
      <c r="H77" s="44"/>
      <c r="I77" s="44"/>
      <c r="J77" s="27"/>
      <c r="K77" s="16"/>
    </row>
    <row r="78" spans="1:11" x14ac:dyDescent="0.3">
      <c r="A78" s="4"/>
      <c r="B78" s="22" t="s">
        <v>28</v>
      </c>
      <c r="C78" s="44"/>
      <c r="D78" s="44"/>
      <c r="E78" s="44"/>
      <c r="F78" s="44"/>
      <c r="G78" s="44"/>
      <c r="H78" s="44"/>
      <c r="I78" s="44"/>
      <c r="J78" s="30"/>
      <c r="K78" s="16"/>
    </row>
    <row r="79" spans="1:11" x14ac:dyDescent="0.3">
      <c r="A79" s="4"/>
      <c r="B79" s="15" t="s">
        <v>24</v>
      </c>
      <c r="C79" s="45">
        <v>0</v>
      </c>
      <c r="D79" s="45">
        <f>(D66+D72)-($C66+$C72)</f>
        <v>44.389033658571293</v>
      </c>
      <c r="E79" s="45">
        <f t="shared" ref="E79:I81" si="24">(E66+E72)-($C66+$C72)</f>
        <v>78.568580293229957</v>
      </c>
      <c r="F79" s="45">
        <f t="shared" si="24"/>
        <v>127.57700842286442</v>
      </c>
      <c r="G79" s="45">
        <f t="shared" si="24"/>
        <v>178.60111056070571</v>
      </c>
      <c r="H79" s="45">
        <f t="shared" si="24"/>
        <v>234.10180681419058</v>
      </c>
      <c r="I79" s="45">
        <f t="shared" si="24"/>
        <v>293.22210342714868</v>
      </c>
      <c r="J79" s="31"/>
      <c r="K79" s="16"/>
    </row>
    <row r="80" spans="1:11" x14ac:dyDescent="0.3">
      <c r="A80" s="4"/>
      <c r="B80" s="15" t="s">
        <v>25</v>
      </c>
      <c r="C80" s="45">
        <v>0</v>
      </c>
      <c r="D80" s="45">
        <f>(D67+D73)-($C67+$C73)</f>
        <v>38.63662173414707</v>
      </c>
      <c r="E80" s="45">
        <f t="shared" si="24"/>
        <v>68.386812389918532</v>
      </c>
      <c r="F80" s="45">
        <f t="shared" si="24"/>
        <v>111.04419740970229</v>
      </c>
      <c r="G80" s="45">
        <f t="shared" si="24"/>
        <v>155.45604356043714</v>
      </c>
      <c r="H80" s="45">
        <f t="shared" si="24"/>
        <v>203.76435825864712</v>
      </c>
      <c r="I80" s="45">
        <f t="shared" si="24"/>
        <v>255.22320628437717</v>
      </c>
      <c r="J80" s="27"/>
      <c r="K80" s="16"/>
    </row>
    <row r="81" spans="1:11" x14ac:dyDescent="0.3">
      <c r="A81" s="4"/>
      <c r="B81" s="15" t="s">
        <v>26</v>
      </c>
      <c r="C81" s="45">
        <v>0</v>
      </c>
      <c r="D81" s="45">
        <f>(D68+D74)-($C68+$C74)</f>
        <v>59.465799960732511</v>
      </c>
      <c r="E81" s="45">
        <f t="shared" si="24"/>
        <v>105.201296608917</v>
      </c>
      <c r="F81" s="45">
        <f t="shared" si="24"/>
        <v>165.65132516088329</v>
      </c>
      <c r="G81" s="45">
        <f t="shared" si="24"/>
        <v>229.97846065195404</v>
      </c>
      <c r="H81" s="45">
        <f t="shared" si="24"/>
        <v>300.6301994350091</v>
      </c>
      <c r="I81" s="45">
        <f t="shared" si="24"/>
        <v>377.10082978256503</v>
      </c>
      <c r="J81" s="32"/>
      <c r="K81" s="16"/>
    </row>
    <row r="82" spans="1:11" x14ac:dyDescent="0.3">
      <c r="A82" s="4"/>
      <c r="B82" s="23" t="s">
        <v>30</v>
      </c>
      <c r="C82" s="46">
        <f>SUM(C79:C81)</f>
        <v>0</v>
      </c>
      <c r="D82" s="46">
        <f t="shared" ref="D82:I82" si="25">SUM(D79:D81)</f>
        <v>142.49145535345087</v>
      </c>
      <c r="E82" s="46">
        <f t="shared" si="25"/>
        <v>252.15668929206549</v>
      </c>
      <c r="F82" s="46">
        <f t="shared" si="25"/>
        <v>404.27253099345</v>
      </c>
      <c r="G82" s="46">
        <f t="shared" si="25"/>
        <v>564.03561477309688</v>
      </c>
      <c r="H82" s="46">
        <f t="shared" si="25"/>
        <v>738.49636450784681</v>
      </c>
      <c r="I82" s="46">
        <f t="shared" si="25"/>
        <v>925.54613949409088</v>
      </c>
      <c r="J82" s="27"/>
      <c r="K82" s="16"/>
    </row>
    <row r="83" spans="1:11" ht="7.05" customHeight="1" x14ac:dyDescent="0.3">
      <c r="A83" s="4"/>
      <c r="B83" s="52"/>
      <c r="C83" s="53"/>
      <c r="D83" s="54"/>
      <c r="E83" s="55"/>
      <c r="F83" s="55"/>
      <c r="G83" s="55"/>
      <c r="H83" s="55"/>
      <c r="I83" s="55"/>
      <c r="J83" s="32"/>
      <c r="K83" s="16"/>
    </row>
    <row r="84" spans="1:11" ht="15.6" customHeight="1" x14ac:dyDescent="0.3">
      <c r="A84" s="4"/>
      <c r="B84" s="26"/>
      <c r="C84" s="33"/>
      <c r="D84" s="34"/>
      <c r="E84" s="32"/>
      <c r="F84" s="32"/>
      <c r="G84" s="32"/>
      <c r="H84" s="32"/>
      <c r="I84" s="32"/>
      <c r="J84" s="32"/>
      <c r="K84" s="16"/>
    </row>
    <row r="85" spans="1:11" ht="15.6" customHeight="1" x14ac:dyDescent="0.3">
      <c r="A85" s="1"/>
      <c r="B85" s="1"/>
      <c r="C85" s="1"/>
      <c r="D85" s="1"/>
      <c r="E85" s="1"/>
      <c r="F85" s="1"/>
      <c r="G85" s="1"/>
      <c r="H85" s="1"/>
      <c r="I85" s="1"/>
      <c r="J85" s="1"/>
      <c r="K85" s="13"/>
    </row>
    <row r="86" spans="1:11" ht="30.6" customHeight="1" x14ac:dyDescent="0.3">
      <c r="B86" s="35" t="s">
        <v>37</v>
      </c>
      <c r="C86" s="36" t="s">
        <v>10</v>
      </c>
      <c r="D86" s="36" t="s">
        <v>11</v>
      </c>
      <c r="E86" s="36" t="s">
        <v>12</v>
      </c>
      <c r="F86" s="36" t="s">
        <v>13</v>
      </c>
      <c r="G86" s="36" t="s">
        <v>14</v>
      </c>
      <c r="H86" s="36" t="s">
        <v>15</v>
      </c>
      <c r="I86" s="36" t="s">
        <v>16</v>
      </c>
    </row>
    <row r="87" spans="1:11" ht="7.05" customHeight="1" x14ac:dyDescent="0.3">
      <c r="B87" s="8"/>
      <c r="C87" s="4"/>
      <c r="D87" s="4"/>
      <c r="E87" s="4"/>
      <c r="F87" s="4"/>
      <c r="G87" s="4"/>
      <c r="H87" s="4"/>
      <c r="I87" s="4"/>
    </row>
    <row r="88" spans="1:11" x14ac:dyDescent="0.3">
      <c r="B88" s="8" t="s">
        <v>29</v>
      </c>
      <c r="C88" s="24"/>
      <c r="D88" s="24"/>
      <c r="E88" s="24"/>
      <c r="F88" s="24"/>
      <c r="G88" s="24"/>
      <c r="H88" s="24"/>
      <c r="I88" s="24"/>
    </row>
    <row r="89" spans="1:11" x14ac:dyDescent="0.3">
      <c r="B89" s="19" t="s">
        <v>17</v>
      </c>
      <c r="C89" s="42">
        <v>100</v>
      </c>
      <c r="D89" s="42">
        <v>103.16609720855303</v>
      </c>
      <c r="E89" s="42">
        <v>104.74458400361287</v>
      </c>
      <c r="F89" s="42">
        <v>108.1776686201496</v>
      </c>
      <c r="G89" s="42">
        <v>111.67036992491136</v>
      </c>
      <c r="H89" s="42">
        <v>115.53070960660773</v>
      </c>
      <c r="I89" s="42">
        <v>119.62337632142211</v>
      </c>
    </row>
    <row r="90" spans="1:11" x14ac:dyDescent="0.3">
      <c r="B90" s="19" t="s">
        <v>18</v>
      </c>
      <c r="C90" s="42">
        <v>100</v>
      </c>
      <c r="D90" s="42">
        <v>101.98358882499656</v>
      </c>
      <c r="E90" s="42">
        <v>103.96717764999312</v>
      </c>
      <c r="F90" s="42">
        <v>105.95076647498968</v>
      </c>
      <c r="G90" s="42">
        <v>107.93435529998624</v>
      </c>
      <c r="H90" s="42">
        <v>109.9179441249828</v>
      </c>
      <c r="I90" s="42">
        <v>111.9015329499794</v>
      </c>
    </row>
    <row r="91" spans="1:11" x14ac:dyDescent="0.3">
      <c r="B91" s="19" t="s">
        <v>46</v>
      </c>
      <c r="C91" s="42">
        <v>100</v>
      </c>
      <c r="D91" s="42">
        <v>100.39418857405202</v>
      </c>
      <c r="E91" s="42">
        <v>100.73542312926207</v>
      </c>
      <c r="F91" s="42">
        <v>101.03179430361975</v>
      </c>
      <c r="G91" s="42">
        <v>101.30344937211891</v>
      </c>
      <c r="H91" s="42">
        <v>101.52123031000468</v>
      </c>
      <c r="I91" s="42">
        <v>101.71730930128298</v>
      </c>
    </row>
    <row r="92" spans="1:11" x14ac:dyDescent="0.3">
      <c r="B92" s="19" t="s">
        <v>20</v>
      </c>
      <c r="C92" s="42">
        <v>100</v>
      </c>
      <c r="D92" s="42">
        <v>100</v>
      </c>
      <c r="E92" s="42">
        <v>100</v>
      </c>
      <c r="F92" s="42">
        <v>100</v>
      </c>
      <c r="G92" s="42">
        <v>100</v>
      </c>
      <c r="H92" s="42">
        <v>100</v>
      </c>
      <c r="I92" s="42">
        <v>100</v>
      </c>
    </row>
    <row r="93" spans="1:11" x14ac:dyDescent="0.3">
      <c r="B93" s="19" t="s">
        <v>21</v>
      </c>
      <c r="C93" s="42">
        <v>0.5</v>
      </c>
      <c r="D93" s="42">
        <v>0.5</v>
      </c>
      <c r="E93" s="42">
        <v>0.5</v>
      </c>
      <c r="F93" s="42">
        <v>0.5</v>
      </c>
      <c r="G93" s="42">
        <v>0.5</v>
      </c>
      <c r="H93" s="42">
        <v>0.5</v>
      </c>
      <c r="I93" s="42">
        <v>0.5</v>
      </c>
    </row>
    <row r="94" spans="1:11" x14ac:dyDescent="0.3">
      <c r="B94" s="19"/>
      <c r="C94" s="24"/>
      <c r="D94" s="24"/>
      <c r="E94" s="24"/>
      <c r="F94" s="24"/>
      <c r="G94" s="24"/>
      <c r="H94" s="24"/>
      <c r="I94" s="24"/>
    </row>
    <row r="95" spans="1:11" x14ac:dyDescent="0.3">
      <c r="B95" s="20" t="s">
        <v>31</v>
      </c>
      <c r="C95" s="24"/>
      <c r="D95" s="24"/>
      <c r="E95" s="24"/>
      <c r="F95" s="24"/>
      <c r="G95" s="24"/>
      <c r="H95" s="24"/>
      <c r="I95" s="24"/>
    </row>
    <row r="96" spans="1:11" x14ac:dyDescent="0.3">
      <c r="B96" s="19" t="s">
        <v>47</v>
      </c>
      <c r="C96" s="60">
        <v>843.98735326915812</v>
      </c>
      <c r="D96" s="60">
        <f>$C96*(D$91/100)*(D$89/100)/(D$92/100)</f>
        <v>874.14104795685228</v>
      </c>
      <c r="E96" s="60">
        <f t="shared" ref="E96:I96" si="26">$C96*(E$91/100)*(E$89/100)/(E$92/100)</f>
        <v>890.53241097926048</v>
      </c>
      <c r="F96" s="60">
        <f t="shared" si="26"/>
        <v>922.42618448717622</v>
      </c>
      <c r="G96" s="60">
        <f t="shared" si="26"/>
        <v>954.76859868223971</v>
      </c>
      <c r="H96" s="60">
        <f t="shared" si="26"/>
        <v>989.89755612791635</v>
      </c>
      <c r="I96" s="60">
        <f t="shared" si="26"/>
        <v>1026.9442283307235</v>
      </c>
    </row>
    <row r="97" spans="2:9" x14ac:dyDescent="0.3">
      <c r="B97" s="21" t="s">
        <v>30</v>
      </c>
      <c r="C97" s="61">
        <f t="shared" ref="C97:I97" si="27">SUM(C96:C96)</f>
        <v>843.98735326915812</v>
      </c>
      <c r="D97" s="61">
        <f t="shared" si="27"/>
        <v>874.14104795685228</v>
      </c>
      <c r="E97" s="61">
        <f t="shared" si="27"/>
        <v>890.53241097926048</v>
      </c>
      <c r="F97" s="61">
        <f t="shared" si="27"/>
        <v>922.42618448717622</v>
      </c>
      <c r="G97" s="61">
        <f t="shared" si="27"/>
        <v>954.76859868223971</v>
      </c>
      <c r="H97" s="61">
        <f t="shared" si="27"/>
        <v>989.89755612791635</v>
      </c>
      <c r="I97" s="61">
        <f t="shared" si="27"/>
        <v>1026.9442283307235</v>
      </c>
    </row>
    <row r="98" spans="2:9" x14ac:dyDescent="0.3">
      <c r="B98" s="19"/>
      <c r="C98" s="60"/>
      <c r="D98" s="60"/>
      <c r="E98" s="60"/>
      <c r="F98" s="60"/>
      <c r="G98" s="60"/>
      <c r="H98" s="60"/>
      <c r="I98" s="60"/>
    </row>
    <row r="99" spans="2:9" x14ac:dyDescent="0.3">
      <c r="B99" s="20" t="s">
        <v>32</v>
      </c>
      <c r="C99" s="60"/>
      <c r="D99" s="60"/>
      <c r="E99" s="60"/>
      <c r="F99" s="60"/>
      <c r="G99" s="60"/>
      <c r="H99" s="60"/>
      <c r="I99" s="60"/>
    </row>
    <row r="100" spans="2:9" x14ac:dyDescent="0.3">
      <c r="B100" s="19" t="s">
        <v>19</v>
      </c>
      <c r="C100" s="60">
        <v>1163.3899671729218</v>
      </c>
      <c r="D100" s="60">
        <f>$C100*(D$91/100)*(((D$90*(1-D$93))+(D$89*D$93))/100)/(D$92/100)</f>
        <v>1198.0494638444211</v>
      </c>
      <c r="E100" s="60">
        <f t="shared" ref="E100:I100" si="28">$C100*(E$91/100)*(((E$90*(1-E$93))+(E$89*E$93))/100)/(E$92/100)</f>
        <v>1222.9943687423699</v>
      </c>
      <c r="F100" s="60">
        <f t="shared" si="28"/>
        <v>1258.4261307299612</v>
      </c>
      <c r="G100" s="60">
        <f t="shared" si="28"/>
        <v>1294.0803193695251</v>
      </c>
      <c r="H100" s="60">
        <f t="shared" si="28"/>
        <v>1331.3732812361734</v>
      </c>
      <c r="I100" s="60">
        <f t="shared" si="28"/>
        <v>1369.8969685618217</v>
      </c>
    </row>
    <row r="101" spans="2:9" x14ac:dyDescent="0.3">
      <c r="B101" s="21" t="s">
        <v>30</v>
      </c>
      <c r="C101" s="61">
        <f t="shared" ref="C101:I101" si="29">SUM(C100:C100)</f>
        <v>1163.3899671729218</v>
      </c>
      <c r="D101" s="61">
        <f t="shared" si="29"/>
        <v>1198.0494638444211</v>
      </c>
      <c r="E101" s="61">
        <f t="shared" si="29"/>
        <v>1222.9943687423699</v>
      </c>
      <c r="F101" s="61">
        <f t="shared" si="29"/>
        <v>1258.4261307299612</v>
      </c>
      <c r="G101" s="61">
        <f t="shared" si="29"/>
        <v>1294.0803193695251</v>
      </c>
      <c r="H101" s="61">
        <f t="shared" si="29"/>
        <v>1331.3732812361734</v>
      </c>
      <c r="I101" s="61">
        <f t="shared" si="29"/>
        <v>1369.8969685618217</v>
      </c>
    </row>
    <row r="102" spans="2:9" x14ac:dyDescent="0.3">
      <c r="B102" s="21"/>
      <c r="C102" s="43"/>
      <c r="D102" s="43"/>
      <c r="E102" s="43"/>
      <c r="F102" s="43"/>
      <c r="G102" s="43"/>
      <c r="H102" s="43"/>
      <c r="I102" s="43"/>
    </row>
    <row r="103" spans="2:9" ht="7.05" customHeight="1" x14ac:dyDescent="0.3">
      <c r="B103" s="51"/>
      <c r="C103" s="44"/>
      <c r="D103" s="44"/>
      <c r="E103" s="44"/>
      <c r="F103" s="44"/>
      <c r="G103" s="44"/>
      <c r="H103" s="44"/>
      <c r="I103" s="44"/>
    </row>
    <row r="104" spans="2:9" x14ac:dyDescent="0.3">
      <c r="B104" s="22" t="s">
        <v>28</v>
      </c>
      <c r="C104" s="44"/>
      <c r="D104" s="44"/>
      <c r="E104" s="44"/>
      <c r="F104" s="44"/>
      <c r="G104" s="44"/>
      <c r="H104" s="44"/>
      <c r="I104" s="44"/>
    </row>
    <row r="105" spans="2:9" x14ac:dyDescent="0.3">
      <c r="B105" s="15" t="s">
        <v>47</v>
      </c>
      <c r="C105" s="45">
        <v>0</v>
      </c>
      <c r="D105" s="45">
        <f>D97-$C97</f>
        <v>30.153694687694156</v>
      </c>
      <c r="E105" s="45">
        <f t="shared" ref="E105:I105" si="30">E97-$C97</f>
        <v>46.545057710102355</v>
      </c>
      <c r="F105" s="45">
        <f t="shared" si="30"/>
        <v>78.438831218018095</v>
      </c>
      <c r="G105" s="45">
        <f t="shared" si="30"/>
        <v>110.78124541308159</v>
      </c>
      <c r="H105" s="45">
        <f t="shared" si="30"/>
        <v>145.91020285875823</v>
      </c>
      <c r="I105" s="45">
        <f t="shared" si="30"/>
        <v>182.95687506156537</v>
      </c>
    </row>
    <row r="106" spans="2:9" x14ac:dyDescent="0.3">
      <c r="B106" s="15" t="s">
        <v>19</v>
      </c>
      <c r="C106" s="45">
        <v>0</v>
      </c>
      <c r="D106" s="45">
        <f>D101-$C101</f>
        <v>34.659496671499255</v>
      </c>
      <c r="E106" s="45">
        <f t="shared" ref="E106:I106" si="31">E101-$C101</f>
        <v>59.6044015694481</v>
      </c>
      <c r="F106" s="45">
        <f t="shared" si="31"/>
        <v>95.036163557039345</v>
      </c>
      <c r="G106" s="45">
        <f t="shared" si="31"/>
        <v>130.69035219660327</v>
      </c>
      <c r="H106" s="45">
        <f t="shared" si="31"/>
        <v>167.98331406325156</v>
      </c>
      <c r="I106" s="45">
        <f t="shared" si="31"/>
        <v>206.50700138889988</v>
      </c>
    </row>
    <row r="107" spans="2:9" x14ac:dyDescent="0.3">
      <c r="B107" s="23" t="s">
        <v>30</v>
      </c>
      <c r="C107" s="46">
        <f>SUM(C105:C106)</f>
        <v>0</v>
      </c>
      <c r="D107" s="46">
        <f>SUM(D105:D106)</f>
        <v>64.813191359193411</v>
      </c>
      <c r="E107" s="46">
        <f t="shared" ref="E107:I107" si="32">SUM(E105:E106)</f>
        <v>106.14945927955046</v>
      </c>
      <c r="F107" s="46">
        <f t="shared" si="32"/>
        <v>173.47499477505744</v>
      </c>
      <c r="G107" s="46">
        <f t="shared" si="32"/>
        <v>241.47159760968486</v>
      </c>
      <c r="H107" s="46">
        <f t="shared" si="32"/>
        <v>313.89351692200978</v>
      </c>
      <c r="I107" s="46">
        <f t="shared" si="32"/>
        <v>389.46387645046525</v>
      </c>
    </row>
    <row r="108" spans="2:9" ht="7.05" customHeight="1" x14ac:dyDescent="0.3">
      <c r="B108" s="52"/>
      <c r="C108" s="53"/>
      <c r="D108" s="54"/>
      <c r="E108" s="55"/>
      <c r="F108" s="55"/>
      <c r="G108" s="55"/>
      <c r="H108" s="55"/>
      <c r="I108" s="55"/>
    </row>
    <row r="109" spans="2:9" x14ac:dyDescent="0.3">
      <c r="B109" s="50" t="s">
        <v>43</v>
      </c>
    </row>
    <row r="110" spans="2:9" ht="15.6" customHeight="1" x14ac:dyDescent="0.3"/>
    <row r="111" spans="2:9" ht="15.6" customHeight="1" x14ac:dyDescent="0.3"/>
    <row r="112" spans="2:9" ht="30.6" customHeight="1" x14ac:dyDescent="0.3">
      <c r="B112" s="35" t="s">
        <v>40</v>
      </c>
      <c r="C112" s="36" t="s">
        <v>10</v>
      </c>
      <c r="D112" s="36" t="s">
        <v>11</v>
      </c>
      <c r="E112" s="36" t="s">
        <v>12</v>
      </c>
      <c r="F112" s="36" t="s">
        <v>13</v>
      </c>
      <c r="G112" s="36" t="s">
        <v>14</v>
      </c>
      <c r="H112" s="36" t="s">
        <v>15</v>
      </c>
      <c r="I112" s="36" t="s">
        <v>16</v>
      </c>
    </row>
    <row r="113" spans="2:9" ht="7.05" customHeight="1" x14ac:dyDescent="0.3">
      <c r="B113" s="8"/>
      <c r="C113" s="4"/>
      <c r="D113" s="4"/>
      <c r="E113" s="4"/>
      <c r="F113" s="4"/>
      <c r="G113" s="4"/>
      <c r="H113" s="4"/>
      <c r="I113" s="4"/>
    </row>
    <row r="114" spans="2:9" ht="14.4" customHeight="1" x14ac:dyDescent="0.3">
      <c r="B114" s="8" t="s">
        <v>29</v>
      </c>
      <c r="C114" s="24"/>
      <c r="D114" s="24"/>
      <c r="E114" s="24"/>
      <c r="F114" s="24"/>
      <c r="G114" s="24"/>
      <c r="H114" s="24"/>
      <c r="I114" s="24"/>
    </row>
    <row r="115" spans="2:9" ht="14.4" customHeight="1" x14ac:dyDescent="0.3">
      <c r="B115" s="19" t="s">
        <v>58</v>
      </c>
      <c r="C115" s="63">
        <v>0</v>
      </c>
      <c r="D115" s="63">
        <v>0</v>
      </c>
      <c r="E115" s="63">
        <v>0.05</v>
      </c>
      <c r="F115" s="63">
        <v>7.4999999999999997E-2</v>
      </c>
      <c r="G115" s="63">
        <v>0.05</v>
      </c>
      <c r="H115" s="63">
        <v>2.5000000000000001E-2</v>
      </c>
      <c r="I115" s="63">
        <v>0</v>
      </c>
    </row>
    <row r="116" spans="2:9" ht="14.4" customHeight="1" x14ac:dyDescent="0.3">
      <c r="B116" s="19" t="s">
        <v>57</v>
      </c>
      <c r="C116" s="42"/>
      <c r="D116" s="42">
        <v>311.27107136791261</v>
      </c>
      <c r="E116" s="42"/>
      <c r="F116" s="42"/>
      <c r="G116" s="42"/>
      <c r="H116" s="42"/>
      <c r="I116" s="42"/>
    </row>
    <row r="117" spans="2:9" ht="14.4" customHeight="1" x14ac:dyDescent="0.3">
      <c r="B117" s="19" t="s">
        <v>50</v>
      </c>
      <c r="C117" s="63">
        <v>1</v>
      </c>
      <c r="D117" s="63">
        <v>1</v>
      </c>
      <c r="E117" s="63">
        <v>0.97499999999999998</v>
      </c>
      <c r="F117" s="63">
        <v>0.96250000000000002</v>
      </c>
      <c r="G117" s="63">
        <v>0.97499999999999998</v>
      </c>
      <c r="H117" s="63">
        <v>0.98750000000000004</v>
      </c>
      <c r="I117" s="63">
        <v>1</v>
      </c>
    </row>
    <row r="118" spans="2:9" ht="14.4" customHeight="1" x14ac:dyDescent="0.3">
      <c r="B118" s="19" t="s">
        <v>51</v>
      </c>
      <c r="C118" s="63">
        <v>1</v>
      </c>
      <c r="D118" s="63">
        <v>1</v>
      </c>
      <c r="E118" s="63">
        <v>0.97499999999999998</v>
      </c>
      <c r="F118" s="63">
        <v>0.96250000000000002</v>
      </c>
      <c r="G118" s="63">
        <v>0.97499999999999998</v>
      </c>
      <c r="H118" s="63">
        <v>0.98750000000000004</v>
      </c>
      <c r="I118" s="63">
        <v>1</v>
      </c>
    </row>
    <row r="119" spans="2:9" ht="14.4" customHeight="1" x14ac:dyDescent="0.3">
      <c r="B119" s="19" t="s">
        <v>52</v>
      </c>
      <c r="C119" s="63">
        <v>1</v>
      </c>
      <c r="D119" s="63">
        <v>1</v>
      </c>
      <c r="E119" s="63">
        <v>0.97499999999999998</v>
      </c>
      <c r="F119" s="63">
        <v>0.96250000000000002</v>
      </c>
      <c r="G119" s="63">
        <v>0.97499999999999998</v>
      </c>
      <c r="H119" s="63">
        <v>0.98750000000000004</v>
      </c>
      <c r="I119" s="63">
        <v>1</v>
      </c>
    </row>
    <row r="120" spans="2:9" ht="14.4" customHeight="1" x14ac:dyDescent="0.3">
      <c r="B120" s="19"/>
      <c r="C120" s="24"/>
      <c r="D120" s="24"/>
      <c r="E120" s="24"/>
      <c r="F120" s="24"/>
      <c r="G120" s="24"/>
      <c r="H120" s="24"/>
      <c r="I120" s="24"/>
    </row>
    <row r="121" spans="2:9" ht="14.4" customHeight="1" x14ac:dyDescent="0.3">
      <c r="B121" s="8" t="s">
        <v>48</v>
      </c>
      <c r="C121" s="24"/>
      <c r="D121" s="24"/>
      <c r="E121" s="24"/>
      <c r="F121" s="24"/>
      <c r="G121" s="24"/>
      <c r="H121" s="24"/>
      <c r="I121" s="24"/>
    </row>
    <row r="122" spans="2:9" ht="14.4" customHeight="1" x14ac:dyDescent="0.3">
      <c r="B122" s="19" t="s">
        <v>33</v>
      </c>
      <c r="C122" s="60">
        <f>C9*$I133</f>
        <v>248.043054723974</v>
      </c>
      <c r="D122" s="60">
        <f t="shared" ref="D122:I122" si="33">D9*$I133</f>
        <v>254.67725598384195</v>
      </c>
      <c r="E122" s="60">
        <f t="shared" si="33"/>
        <v>258.68862227086686</v>
      </c>
      <c r="F122" s="60">
        <f t="shared" si="33"/>
        <v>263.12208905801924</v>
      </c>
      <c r="G122" s="60">
        <f t="shared" si="33"/>
        <v>267.51521776580273</v>
      </c>
      <c r="H122" s="60">
        <f t="shared" si="33"/>
        <v>272.40496863620922</v>
      </c>
      <c r="I122" s="60">
        <f t="shared" si="33"/>
        <v>277.65588907659253</v>
      </c>
    </row>
    <row r="123" spans="2:9" ht="14.4" customHeight="1" x14ac:dyDescent="0.3">
      <c r="B123" s="19" t="s">
        <v>23</v>
      </c>
      <c r="C123" s="60">
        <f t="shared" ref="C123:I123" si="34">C10*$I134</f>
        <v>390.56838996457873</v>
      </c>
      <c r="D123" s="60">
        <f t="shared" si="34"/>
        <v>413.53878945493324</v>
      </c>
      <c r="E123" s="60">
        <f t="shared" si="34"/>
        <v>431.21742307913644</v>
      </c>
      <c r="F123" s="60">
        <f t="shared" si="34"/>
        <v>455.73932612255078</v>
      </c>
      <c r="G123" s="60">
        <f t="shared" si="34"/>
        <v>481.49400628303096</v>
      </c>
      <c r="H123" s="60">
        <f t="shared" si="34"/>
        <v>509.6180303296203</v>
      </c>
      <c r="I123" s="60">
        <f t="shared" si="34"/>
        <v>539.77147388423339</v>
      </c>
    </row>
    <row r="124" spans="2:9" ht="14.4" customHeight="1" x14ac:dyDescent="0.3">
      <c r="B124" s="19" t="s">
        <v>49</v>
      </c>
      <c r="C124" s="60">
        <f t="shared" ref="C124:I124" si="35">C11*$I135</f>
        <v>653.94754747011814</v>
      </c>
      <c r="D124" s="60">
        <f t="shared" si="35"/>
        <v>675.06187764683102</v>
      </c>
      <c r="E124" s="60">
        <f t="shared" si="35"/>
        <v>688.52808091256009</v>
      </c>
      <c r="F124" s="60">
        <f t="shared" si="35"/>
        <v>710.46086274238894</v>
      </c>
      <c r="G124" s="60">
        <f t="shared" si="35"/>
        <v>732.61225959597868</v>
      </c>
      <c r="H124" s="60">
        <f t="shared" si="35"/>
        <v>756.20530114082749</v>
      </c>
      <c r="I124" s="60">
        <f t="shared" si="35"/>
        <v>780.82401670158163</v>
      </c>
    </row>
    <row r="125" spans="2:9" ht="14.4" customHeight="1" x14ac:dyDescent="0.3">
      <c r="B125" s="21" t="s">
        <v>30</v>
      </c>
      <c r="C125" s="61">
        <f>SUM(C122:C124)</f>
        <v>1292.5589921586709</v>
      </c>
      <c r="D125" s="61">
        <f t="shared" ref="D125:I125" si="36">SUM(D122:D124)</f>
        <v>1343.2779230856063</v>
      </c>
      <c r="E125" s="61">
        <f t="shared" si="36"/>
        <v>1378.4341262625635</v>
      </c>
      <c r="F125" s="61">
        <f t="shared" si="36"/>
        <v>1429.3222779229591</v>
      </c>
      <c r="G125" s="61">
        <f t="shared" si="36"/>
        <v>1481.6214836448123</v>
      </c>
      <c r="H125" s="61">
        <f t="shared" si="36"/>
        <v>1538.2283001066571</v>
      </c>
      <c r="I125" s="61">
        <f t="shared" si="36"/>
        <v>1598.2513796624075</v>
      </c>
    </row>
    <row r="126" spans="2:9" ht="14.4" customHeight="1" x14ac:dyDescent="0.3">
      <c r="B126" s="21"/>
      <c r="C126" s="43"/>
      <c r="D126" s="43"/>
      <c r="E126" s="43"/>
      <c r="F126" s="43"/>
      <c r="G126" s="43"/>
      <c r="H126" s="43"/>
      <c r="I126" s="43"/>
    </row>
    <row r="127" spans="2:9" ht="7.05" customHeight="1" x14ac:dyDescent="0.3">
      <c r="B127" s="51"/>
      <c r="C127" s="44"/>
      <c r="D127" s="44"/>
      <c r="E127" s="44"/>
      <c r="F127" s="44"/>
      <c r="G127" s="44"/>
      <c r="H127" s="44"/>
      <c r="I127" s="44"/>
    </row>
    <row r="128" spans="2:9" x14ac:dyDescent="0.3">
      <c r="B128" s="22" t="s">
        <v>28</v>
      </c>
      <c r="C128" s="44"/>
      <c r="D128" s="44"/>
      <c r="E128" s="44"/>
      <c r="F128" s="44"/>
      <c r="G128" s="44"/>
      <c r="H128" s="44"/>
      <c r="I128" s="44"/>
    </row>
    <row r="129" spans="2:9" x14ac:dyDescent="0.3">
      <c r="B129" s="15" t="s">
        <v>55</v>
      </c>
      <c r="C129" s="45">
        <v>0</v>
      </c>
      <c r="D129" s="45">
        <v>0</v>
      </c>
      <c r="E129" s="45">
        <f>(E115)*$D$116</f>
        <v>15.563553568395632</v>
      </c>
      <c r="F129" s="45">
        <f t="shared" ref="F129:I129" si="37">(F115)*$D$116</f>
        <v>23.345330352593447</v>
      </c>
      <c r="G129" s="45">
        <f t="shared" si="37"/>
        <v>15.563553568395632</v>
      </c>
      <c r="H129" s="45">
        <f t="shared" si="37"/>
        <v>7.7817767841978158</v>
      </c>
      <c r="I129" s="45">
        <f t="shared" si="37"/>
        <v>0</v>
      </c>
    </row>
    <row r="130" spans="2:9" x14ac:dyDescent="0.3">
      <c r="B130" s="15" t="s">
        <v>54</v>
      </c>
      <c r="C130" s="45">
        <v>0</v>
      </c>
      <c r="D130" s="45">
        <v>0</v>
      </c>
      <c r="E130" s="45">
        <f>E125-((E122*(E117))+(E118*(E123))+(E119*(E124)))</f>
        <v>34.460853156564326</v>
      </c>
      <c r="F130" s="45">
        <f t="shared" ref="F130:I130" si="38">F125-((F122*(F117))+(F118*(F123))+(F119*(F124)))</f>
        <v>53.599585422110977</v>
      </c>
      <c r="G130" s="45">
        <f t="shared" si="38"/>
        <v>37.040537091120314</v>
      </c>
      <c r="H130" s="45">
        <f t="shared" si="38"/>
        <v>19.227853751333441</v>
      </c>
      <c r="I130" s="45">
        <f t="shared" si="38"/>
        <v>0</v>
      </c>
    </row>
    <row r="131" spans="2:9" x14ac:dyDescent="0.3">
      <c r="B131" s="23" t="s">
        <v>30</v>
      </c>
      <c r="C131" s="46">
        <f t="shared" ref="C131:I131" si="39">SUM(C129:C130)</f>
        <v>0</v>
      </c>
      <c r="D131" s="46">
        <f t="shared" si="39"/>
        <v>0</v>
      </c>
      <c r="E131" s="46">
        <f t="shared" si="39"/>
        <v>50.02440672495996</v>
      </c>
      <c r="F131" s="46">
        <f t="shared" si="39"/>
        <v>76.944915774704427</v>
      </c>
      <c r="G131" s="46">
        <f t="shared" si="39"/>
        <v>52.604090659515947</v>
      </c>
      <c r="H131" s="46">
        <f t="shared" si="39"/>
        <v>27.009630535531258</v>
      </c>
      <c r="I131" s="46">
        <f t="shared" si="39"/>
        <v>0</v>
      </c>
    </row>
    <row r="132" spans="2:9" ht="7.05" customHeight="1" x14ac:dyDescent="0.3">
      <c r="B132" s="52"/>
      <c r="C132" s="53"/>
      <c r="D132" s="54"/>
      <c r="E132" s="55"/>
      <c r="F132" s="55"/>
      <c r="G132" s="55"/>
      <c r="H132" s="55"/>
      <c r="I132" s="55"/>
    </row>
    <row r="133" spans="2:9" x14ac:dyDescent="0.3">
      <c r="B133" s="50" t="s">
        <v>56</v>
      </c>
      <c r="I133" s="64">
        <v>8.2983796867731996E-2</v>
      </c>
    </row>
    <row r="134" spans="2:9" x14ac:dyDescent="0.3">
      <c r="B134" s="50" t="s">
        <v>53</v>
      </c>
      <c r="I134" s="64">
        <v>0.161205452168176</v>
      </c>
    </row>
    <row r="135" spans="2:9" x14ac:dyDescent="0.3">
      <c r="I135" s="64">
        <v>0.32577211110771798</v>
      </c>
    </row>
    <row r="136" spans="2:9" ht="20.399999999999999" customHeight="1" x14ac:dyDescent="0.3"/>
  </sheetData>
  <mergeCells count="1">
    <mergeCell ref="A1:B1"/>
  </mergeCells>
  <hyperlinks>
    <hyperlink ref="A1" location="Contents!A1" display="Back to contents" xr:uid="{E93F2039-DA05-4964-92E7-0C2366662F34}"/>
  </hyperlinks>
  <pageMargins left="0.7" right="0.7" top="0.75" bottom="0.75" header="0.3" footer="0.3"/>
  <pageSetup paperSize="9" scale="6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E2421-8790-49F8-8CA7-055408B65990}">
  <sheetPr>
    <tabColor theme="0"/>
    <pageSetUpPr fitToPage="1"/>
  </sheetPr>
  <dimension ref="A1:K137"/>
  <sheetViews>
    <sheetView zoomScaleNormal="100" workbookViewId="0">
      <selection activeCell="C34" sqref="C34"/>
    </sheetView>
  </sheetViews>
  <sheetFormatPr defaultColWidth="0" defaultRowHeight="14.4" zeroHeight="1" x14ac:dyDescent="0.3"/>
  <cols>
    <col min="1" max="1" width="9.5546875" style="2" customWidth="1"/>
    <col min="2" max="2" width="47.88671875" style="2" bestFit="1" customWidth="1"/>
    <col min="3" max="9" width="10.77734375" style="2" customWidth="1"/>
    <col min="10" max="10" width="9.5546875" style="2" bestFit="1" customWidth="1"/>
  </cols>
  <sheetData>
    <row r="1" spans="1:11" x14ac:dyDescent="0.3">
      <c r="A1" s="186" t="s">
        <v>9</v>
      </c>
      <c r="B1" s="186"/>
      <c r="C1" s="1"/>
      <c r="D1" s="173"/>
      <c r="E1" s="173"/>
      <c r="F1" s="173"/>
      <c r="G1" s="173"/>
      <c r="H1" s="173"/>
      <c r="I1" s="173"/>
      <c r="J1" s="1"/>
      <c r="K1" s="13"/>
    </row>
    <row r="2" spans="1:11" x14ac:dyDescent="0.3">
      <c r="A2" s="1"/>
      <c r="B2" s="1"/>
      <c r="C2" s="1"/>
      <c r="D2" s="172"/>
      <c r="E2" s="1"/>
      <c r="F2" s="1"/>
      <c r="G2" s="1"/>
      <c r="H2" s="1"/>
      <c r="I2" s="1"/>
      <c r="J2" s="1"/>
      <c r="K2" s="13"/>
    </row>
    <row r="3" spans="1:11" ht="15.6" x14ac:dyDescent="0.3">
      <c r="A3" s="49">
        <v>2.2999999999999998</v>
      </c>
      <c r="B3" s="18" t="s">
        <v>61</v>
      </c>
      <c r="C3" s="1"/>
      <c r="J3" s="1"/>
      <c r="K3" s="13"/>
    </row>
    <row r="4" spans="1:11" ht="15.6" x14ac:dyDescent="0.3">
      <c r="A4" s="18"/>
      <c r="B4" s="18"/>
      <c r="C4" s="1"/>
      <c r="J4" s="1"/>
      <c r="K4" s="13"/>
    </row>
    <row r="5" spans="1:11" ht="15.6" x14ac:dyDescent="0.3">
      <c r="A5" s="18"/>
      <c r="B5" s="18"/>
      <c r="C5" s="1"/>
      <c r="D5" s="1"/>
      <c r="E5" s="1"/>
      <c r="F5" s="1"/>
      <c r="G5" s="1"/>
      <c r="H5" s="1"/>
      <c r="I5" s="69" t="s">
        <v>78</v>
      </c>
      <c r="J5" s="1"/>
      <c r="K5" s="13"/>
    </row>
    <row r="6" spans="1:11" ht="30.6" customHeight="1" x14ac:dyDescent="0.3">
      <c r="A6" s="18"/>
      <c r="B6" s="47" t="s">
        <v>38</v>
      </c>
      <c r="C6" s="48" t="s">
        <v>10</v>
      </c>
      <c r="D6" s="48" t="s">
        <v>11</v>
      </c>
      <c r="E6" s="48" t="s">
        <v>12</v>
      </c>
      <c r="F6" s="48" t="s">
        <v>13</v>
      </c>
      <c r="G6" s="48" t="s">
        <v>14</v>
      </c>
      <c r="H6" s="48" t="s">
        <v>15</v>
      </c>
      <c r="I6" s="48" t="s">
        <v>16</v>
      </c>
      <c r="J6" s="1"/>
      <c r="K6" s="13"/>
    </row>
    <row r="7" spans="1:11" ht="7.05" customHeight="1" x14ac:dyDescent="0.3">
      <c r="A7" s="18"/>
      <c r="B7" s="8"/>
      <c r="C7" s="4"/>
      <c r="D7" s="4"/>
      <c r="E7" s="4"/>
      <c r="F7" s="4"/>
      <c r="G7" s="4"/>
      <c r="H7" s="4"/>
      <c r="I7" s="4"/>
      <c r="J7" s="1"/>
      <c r="K7" s="13"/>
    </row>
    <row r="8" spans="1:11" ht="14.4" customHeight="1" x14ac:dyDescent="0.3">
      <c r="A8" s="18"/>
      <c r="B8" s="8" t="s">
        <v>44</v>
      </c>
      <c r="C8" s="4"/>
      <c r="D8" s="4"/>
      <c r="E8" s="4"/>
      <c r="F8" s="4"/>
      <c r="G8" s="4"/>
      <c r="H8" s="4"/>
      <c r="I8" s="4"/>
      <c r="J8" s="1"/>
      <c r="K8" s="13"/>
    </row>
    <row r="9" spans="1:11" ht="14.4" customHeight="1" x14ac:dyDescent="0.3">
      <c r="A9" s="18"/>
      <c r="B9" s="19" t="s">
        <v>33</v>
      </c>
      <c r="C9" s="58">
        <v>2989.0540573761673</v>
      </c>
      <c r="D9" s="58">
        <f>$C9+D17</f>
        <v>3075.1377995218991</v>
      </c>
      <c r="E9" s="58">
        <f t="shared" ref="E9:I9" si="0">$C9+E17</f>
        <v>3151.1231214089498</v>
      </c>
      <c r="F9" s="58">
        <f t="shared" si="0"/>
        <v>3223.2619051004108</v>
      </c>
      <c r="G9" s="58">
        <f t="shared" si="0"/>
        <v>3283.1438174518812</v>
      </c>
      <c r="H9" s="58">
        <f t="shared" si="0"/>
        <v>3348.1197232677741</v>
      </c>
      <c r="I9" s="58">
        <f t="shared" si="0"/>
        <v>3419.7268209504805</v>
      </c>
      <c r="J9" s="1"/>
      <c r="K9" s="13"/>
    </row>
    <row r="10" spans="1:11" ht="14.4" customHeight="1" x14ac:dyDescent="0.3">
      <c r="A10" s="18"/>
      <c r="B10" s="19" t="s">
        <v>23</v>
      </c>
      <c r="C10" s="58">
        <v>2422.7988862133652</v>
      </c>
      <c r="D10" s="58">
        <f t="shared" ref="D10:I11" si="1">$C10+D18</f>
        <v>2582.5324038215695</v>
      </c>
      <c r="E10" s="58">
        <f t="shared" si="1"/>
        <v>2820.420393809678</v>
      </c>
      <c r="F10" s="58">
        <f t="shared" si="1"/>
        <v>3002.6453524166591</v>
      </c>
      <c r="G10" s="58">
        <f t="shared" si="1"/>
        <v>3196.0614060865778</v>
      </c>
      <c r="H10" s="58">
        <f t="shared" si="1"/>
        <v>3408.5368910877501</v>
      </c>
      <c r="I10" s="58">
        <f t="shared" si="1"/>
        <v>3638.8062820672785</v>
      </c>
      <c r="J10" s="1"/>
      <c r="K10" s="13"/>
    </row>
    <row r="11" spans="1:11" ht="14.4" customHeight="1" x14ac:dyDescent="0.3">
      <c r="A11" s="18"/>
      <c r="B11" s="19" t="s">
        <v>37</v>
      </c>
      <c r="C11" s="58">
        <v>2007.3773204419194</v>
      </c>
      <c r="D11" s="58">
        <f t="shared" si="1"/>
        <v>2072.1905118011127</v>
      </c>
      <c r="E11" s="58">
        <f t="shared" si="1"/>
        <v>2125.2704814452991</v>
      </c>
      <c r="F11" s="58">
        <f t="shared" si="1"/>
        <v>2193.0166091150004</v>
      </c>
      <c r="G11" s="58">
        <f t="shared" si="1"/>
        <v>2261.4397204749239</v>
      </c>
      <c r="H11" s="58">
        <f t="shared" si="1"/>
        <v>2334.3248952432273</v>
      </c>
      <c r="I11" s="58">
        <f t="shared" si="1"/>
        <v>2410.6984646197161</v>
      </c>
      <c r="J11" s="1"/>
      <c r="K11" s="13"/>
    </row>
    <row r="12" spans="1:11" ht="14.4" customHeight="1" x14ac:dyDescent="0.3">
      <c r="A12" s="18"/>
      <c r="B12" s="19" t="s">
        <v>41</v>
      </c>
      <c r="C12" s="58">
        <f>C20</f>
        <v>0</v>
      </c>
      <c r="D12" s="58">
        <f t="shared" ref="D12:I12" si="2">D20</f>
        <v>0</v>
      </c>
      <c r="E12" s="58">
        <f t="shared" si="2"/>
        <v>101.55276500259134</v>
      </c>
      <c r="F12" s="58">
        <f t="shared" si="2"/>
        <v>182.74262178400002</v>
      </c>
      <c r="G12" s="58">
        <f t="shared" si="2"/>
        <v>161.01947987836544</v>
      </c>
      <c r="H12" s="58">
        <f t="shared" si="2"/>
        <v>138.14465685217021</v>
      </c>
      <c r="I12" s="58">
        <f t="shared" si="2"/>
        <v>113.91288993525342</v>
      </c>
      <c r="J12" s="1"/>
      <c r="K12" s="13"/>
    </row>
    <row r="13" spans="1:11" ht="14.4" customHeight="1" x14ac:dyDescent="0.3">
      <c r="A13" s="18"/>
      <c r="B13" s="21" t="s">
        <v>42</v>
      </c>
      <c r="C13" s="59">
        <f>SUM(C9:C12)</f>
        <v>7419.230264031452</v>
      </c>
      <c r="D13" s="59">
        <f t="shared" ref="D13:I13" si="3">SUM(D9:D12)</f>
        <v>7729.8607151445813</v>
      </c>
      <c r="E13" s="59">
        <f t="shared" si="3"/>
        <v>8198.366761666517</v>
      </c>
      <c r="F13" s="59">
        <f t="shared" si="3"/>
        <v>8601.6664884160709</v>
      </c>
      <c r="G13" s="59">
        <f t="shared" si="3"/>
        <v>8901.6644238917488</v>
      </c>
      <c r="H13" s="59">
        <f t="shared" si="3"/>
        <v>9229.126166450922</v>
      </c>
      <c r="I13" s="59">
        <f t="shared" si="3"/>
        <v>9583.1444575727273</v>
      </c>
      <c r="J13" s="1"/>
      <c r="K13" s="13"/>
    </row>
    <row r="14" spans="1:11" ht="14.4" customHeight="1" x14ac:dyDescent="0.3">
      <c r="A14" s="18"/>
      <c r="B14" s="21"/>
      <c r="C14" s="4"/>
      <c r="D14" s="4"/>
      <c r="E14" s="4"/>
      <c r="F14" s="4"/>
      <c r="G14" s="4"/>
      <c r="H14" s="4"/>
      <c r="I14" s="4"/>
      <c r="J14" s="1"/>
      <c r="K14" s="13"/>
    </row>
    <row r="15" spans="1:11" ht="7.05" customHeight="1" x14ac:dyDescent="0.3">
      <c r="A15" s="18"/>
      <c r="B15" s="57"/>
      <c r="C15" s="56"/>
      <c r="D15" s="56"/>
      <c r="E15" s="56"/>
      <c r="F15" s="56"/>
      <c r="G15" s="56"/>
      <c r="H15" s="56"/>
      <c r="I15" s="56"/>
      <c r="J15" s="1"/>
      <c r="K15" s="13"/>
    </row>
    <row r="16" spans="1:11" ht="14.4" customHeight="1" x14ac:dyDescent="0.3">
      <c r="A16" s="18"/>
      <c r="B16" s="22" t="s">
        <v>28</v>
      </c>
      <c r="C16" s="44"/>
      <c r="D16" s="44"/>
      <c r="E16" s="44"/>
      <c r="F16" s="44"/>
      <c r="G16" s="44"/>
      <c r="H16" s="44"/>
      <c r="I16" s="44"/>
      <c r="J16" s="1"/>
      <c r="K16" s="13"/>
    </row>
    <row r="17" spans="1:11" ht="14.4" customHeight="1" x14ac:dyDescent="0.3">
      <c r="A17" s="18"/>
      <c r="B17" s="15" t="s">
        <v>33</v>
      </c>
      <c r="C17" s="45">
        <v>0</v>
      </c>
      <c r="D17" s="45">
        <f>D51</f>
        <v>86.083742145731662</v>
      </c>
      <c r="E17" s="45">
        <f t="shared" ref="E17:I17" si="4">E51</f>
        <v>162.06906403278253</v>
      </c>
      <c r="F17" s="45">
        <f t="shared" si="4"/>
        <v>234.20784772424338</v>
      </c>
      <c r="G17" s="45">
        <f t="shared" si="4"/>
        <v>294.0897600757138</v>
      </c>
      <c r="H17" s="45">
        <f t="shared" si="4"/>
        <v>359.06566589160673</v>
      </c>
      <c r="I17" s="45">
        <f t="shared" si="4"/>
        <v>430.67276357431331</v>
      </c>
      <c r="J17" s="1"/>
      <c r="K17" s="13"/>
    </row>
    <row r="18" spans="1:11" ht="14.4" customHeight="1" x14ac:dyDescent="0.3">
      <c r="A18" s="18"/>
      <c r="B18" s="15" t="s">
        <v>23</v>
      </c>
      <c r="C18" s="45">
        <v>0</v>
      </c>
      <c r="D18" s="45">
        <f>D83</f>
        <v>159.73351760820412</v>
      </c>
      <c r="E18" s="45">
        <f t="shared" ref="E18:I18" si="5">E83</f>
        <v>397.62150759631254</v>
      </c>
      <c r="F18" s="45">
        <f t="shared" si="5"/>
        <v>579.84646620329374</v>
      </c>
      <c r="G18" s="45">
        <f t="shared" si="5"/>
        <v>773.26251987321268</v>
      </c>
      <c r="H18" s="45">
        <f t="shared" si="5"/>
        <v>985.73800487438496</v>
      </c>
      <c r="I18" s="45">
        <f t="shared" si="5"/>
        <v>1216.0073958539133</v>
      </c>
      <c r="J18" s="1"/>
      <c r="K18" s="13"/>
    </row>
    <row r="19" spans="1:11" ht="14.4" customHeight="1" x14ac:dyDescent="0.3">
      <c r="A19" s="18"/>
      <c r="B19" s="15" t="s">
        <v>39</v>
      </c>
      <c r="C19" s="45">
        <v>0</v>
      </c>
      <c r="D19" s="45">
        <f>D108</f>
        <v>64.813191359193411</v>
      </c>
      <c r="E19" s="45">
        <f t="shared" ref="E19:I19" si="6">E108</f>
        <v>117.89316100337976</v>
      </c>
      <c r="F19" s="45">
        <f t="shared" si="6"/>
        <v>185.63928867308084</v>
      </c>
      <c r="G19" s="45">
        <f t="shared" si="6"/>
        <v>254.06240003300468</v>
      </c>
      <c r="H19" s="45">
        <f t="shared" si="6"/>
        <v>326.94757480130772</v>
      </c>
      <c r="I19" s="45">
        <f t="shared" si="6"/>
        <v>403.32114417779644</v>
      </c>
      <c r="J19" s="1"/>
      <c r="K19" s="13"/>
    </row>
    <row r="20" spans="1:11" ht="14.4" customHeight="1" x14ac:dyDescent="0.3">
      <c r="A20" s="18"/>
      <c r="B20" s="15" t="s">
        <v>40</v>
      </c>
      <c r="C20" s="45">
        <v>0</v>
      </c>
      <c r="D20" s="45">
        <f>D132</f>
        <v>0</v>
      </c>
      <c r="E20" s="45">
        <f t="shared" ref="E20:I20" si="7">E132</f>
        <v>101.55276500259134</v>
      </c>
      <c r="F20" s="45">
        <f t="shared" si="7"/>
        <v>182.74262178400002</v>
      </c>
      <c r="G20" s="45">
        <f t="shared" si="7"/>
        <v>161.01947987836544</v>
      </c>
      <c r="H20" s="45">
        <f t="shared" si="7"/>
        <v>138.14465685217021</v>
      </c>
      <c r="I20" s="45">
        <f t="shared" si="7"/>
        <v>113.91288993525342</v>
      </c>
      <c r="J20" s="1"/>
      <c r="K20" s="13"/>
    </row>
    <row r="21" spans="1:11" ht="14.4" customHeight="1" x14ac:dyDescent="0.3">
      <c r="A21" s="18"/>
      <c r="B21" s="23" t="s">
        <v>30</v>
      </c>
      <c r="C21" s="46">
        <f>SUM(C17:C20)</f>
        <v>0</v>
      </c>
      <c r="D21" s="46">
        <f t="shared" ref="D21:I21" si="8">SUM(D17:D20)</f>
        <v>310.6304511131292</v>
      </c>
      <c r="E21" s="46">
        <f t="shared" si="8"/>
        <v>779.13649763506623</v>
      </c>
      <c r="F21" s="46">
        <f t="shared" si="8"/>
        <v>1182.4362243846181</v>
      </c>
      <c r="G21" s="46">
        <f t="shared" si="8"/>
        <v>1482.4341598602966</v>
      </c>
      <c r="H21" s="46">
        <f t="shared" si="8"/>
        <v>1809.8959024194696</v>
      </c>
      <c r="I21" s="46">
        <f t="shared" si="8"/>
        <v>2163.9141935412763</v>
      </c>
      <c r="J21" s="1"/>
      <c r="K21" s="13"/>
    </row>
    <row r="22" spans="1:11" ht="7.05" customHeight="1" x14ac:dyDescent="0.3">
      <c r="A22" s="18"/>
      <c r="B22" s="52"/>
      <c r="C22" s="53"/>
      <c r="D22" s="54"/>
      <c r="E22" s="55"/>
      <c r="F22" s="55"/>
      <c r="G22" s="55"/>
      <c r="H22" s="55"/>
      <c r="I22" s="55"/>
      <c r="J22" s="1"/>
      <c r="K22" s="13"/>
    </row>
    <row r="23" spans="1:11" ht="15.6" x14ac:dyDescent="0.3">
      <c r="A23" s="18"/>
      <c r="B23" s="50" t="s">
        <v>59</v>
      </c>
      <c r="C23" s="1"/>
      <c r="D23" s="1"/>
      <c r="E23" s="1"/>
      <c r="F23" s="1"/>
      <c r="G23" s="1"/>
      <c r="H23" s="1"/>
      <c r="I23" s="49"/>
      <c r="J23" s="1"/>
      <c r="K23" s="13"/>
    </row>
    <row r="24" spans="1:11" ht="15.6" x14ac:dyDescent="0.3">
      <c r="A24" s="18"/>
      <c r="B24" s="50"/>
      <c r="C24" s="1"/>
      <c r="D24" s="1"/>
      <c r="E24" s="1"/>
      <c r="F24" s="1"/>
      <c r="G24" s="1"/>
      <c r="H24" s="1"/>
      <c r="I24" s="49"/>
      <c r="J24" s="1"/>
      <c r="K24" s="13"/>
    </row>
    <row r="25" spans="1:11" ht="15.6" x14ac:dyDescent="0.3">
      <c r="A25" s="18"/>
      <c r="B25" s="18"/>
      <c r="C25" s="1"/>
      <c r="D25" s="1"/>
      <c r="E25" s="1"/>
      <c r="F25" s="1"/>
      <c r="G25" s="1"/>
      <c r="H25" s="1"/>
      <c r="I25" s="1"/>
      <c r="J25" s="1"/>
      <c r="K25" s="13"/>
    </row>
    <row r="26" spans="1:11" ht="15.6" x14ac:dyDescent="0.3">
      <c r="A26" s="18"/>
      <c r="B26" s="18"/>
      <c r="C26" s="1"/>
      <c r="D26" s="1"/>
      <c r="E26" s="1"/>
      <c r="F26" s="1"/>
      <c r="G26" s="1"/>
      <c r="H26" s="1"/>
      <c r="I26" s="1"/>
      <c r="J26" s="1"/>
      <c r="K26" s="13"/>
    </row>
    <row r="27" spans="1:11" ht="30.6" customHeight="1" x14ac:dyDescent="0.3">
      <c r="A27" s="18"/>
      <c r="B27" s="35" t="s">
        <v>33</v>
      </c>
      <c r="C27" s="36" t="s">
        <v>10</v>
      </c>
      <c r="D27" s="36" t="s">
        <v>11</v>
      </c>
      <c r="E27" s="36" t="s">
        <v>12</v>
      </c>
      <c r="F27" s="36" t="s">
        <v>13</v>
      </c>
      <c r="G27" s="36" t="s">
        <v>14</v>
      </c>
      <c r="H27" s="36" t="s">
        <v>15</v>
      </c>
      <c r="I27" s="36" t="s">
        <v>16</v>
      </c>
      <c r="J27" s="1"/>
      <c r="K27" s="13"/>
    </row>
    <row r="28" spans="1:11" ht="7.05" customHeight="1" x14ac:dyDescent="0.3">
      <c r="A28" s="18"/>
      <c r="B28" s="8"/>
      <c r="C28" s="4"/>
      <c r="D28" s="4"/>
      <c r="E28" s="4"/>
      <c r="F28" s="4"/>
      <c r="G28" s="4"/>
      <c r="H28" s="4"/>
      <c r="I28" s="4"/>
      <c r="J28" s="1"/>
      <c r="K28" s="13"/>
    </row>
    <row r="29" spans="1:11" ht="14.4" customHeight="1" x14ac:dyDescent="0.3">
      <c r="A29" s="18"/>
      <c r="B29" s="8" t="s">
        <v>29</v>
      </c>
      <c r="C29" s="24"/>
      <c r="D29" s="24"/>
      <c r="E29" s="24"/>
      <c r="F29" s="24"/>
      <c r="G29" s="24"/>
      <c r="H29" s="24"/>
      <c r="I29" s="24"/>
      <c r="J29" s="1"/>
      <c r="K29" s="13"/>
    </row>
    <row r="30" spans="1:11" ht="14.4" customHeight="1" x14ac:dyDescent="0.3">
      <c r="A30" s="18"/>
      <c r="B30" s="19" t="s">
        <v>34</v>
      </c>
      <c r="C30" s="42">
        <v>100</v>
      </c>
      <c r="D30" s="42">
        <v>102.56442595240529</v>
      </c>
      <c r="E30" s="42">
        <v>105.91384563177722</v>
      </c>
      <c r="F30" s="42">
        <v>108.82015160800573</v>
      </c>
      <c r="G30" s="42">
        <v>111.40377060450352</v>
      </c>
      <c r="H30" s="42">
        <v>114.32590605715242</v>
      </c>
      <c r="I30" s="42">
        <v>118.05583393871366</v>
      </c>
      <c r="J30" s="1"/>
      <c r="K30" s="13"/>
    </row>
    <row r="31" spans="1:11" ht="14.4" customHeight="1" x14ac:dyDescent="0.3">
      <c r="A31" s="18"/>
      <c r="B31" s="19" t="s">
        <v>35</v>
      </c>
      <c r="C31" s="42">
        <v>100</v>
      </c>
      <c r="D31" s="42">
        <v>103.16609720855303</v>
      </c>
      <c r="E31" s="42">
        <v>105.56229535778827</v>
      </c>
      <c r="F31" s="42">
        <v>109.02218109533275</v>
      </c>
      <c r="G31" s="42">
        <v>112.54214893173254</v>
      </c>
      <c r="H31" s="42">
        <v>116.43262519393782</v>
      </c>
      <c r="I31" s="42">
        <v>120.57894075177896</v>
      </c>
      <c r="J31" s="1"/>
      <c r="K31" s="13"/>
    </row>
    <row r="32" spans="1:11" ht="14.4" customHeight="1" x14ac:dyDescent="0.3">
      <c r="A32" s="18"/>
      <c r="B32" s="19" t="s">
        <v>18</v>
      </c>
      <c r="C32" s="42">
        <v>100</v>
      </c>
      <c r="D32" s="42">
        <v>101.98358882499656</v>
      </c>
      <c r="E32" s="42">
        <v>103.96717764999312</v>
      </c>
      <c r="F32" s="42">
        <v>105.95076647498968</v>
      </c>
      <c r="G32" s="42">
        <v>107.93435529998624</v>
      </c>
      <c r="H32" s="42">
        <v>109.9179441249828</v>
      </c>
      <c r="I32" s="42">
        <v>111.9015329499794</v>
      </c>
      <c r="J32" s="1"/>
      <c r="K32" s="13"/>
    </row>
    <row r="33" spans="1:11" ht="14.4" customHeight="1" x14ac:dyDescent="0.3">
      <c r="A33" s="18"/>
      <c r="B33" s="19" t="s">
        <v>36</v>
      </c>
      <c r="C33" s="42">
        <v>100</v>
      </c>
      <c r="D33" s="42">
        <v>100.19039889452981</v>
      </c>
      <c r="E33" s="42">
        <v>99.956577979737943</v>
      </c>
      <c r="F33" s="42">
        <v>99.460188480089158</v>
      </c>
      <c r="G33" s="42">
        <v>98.739431469513448</v>
      </c>
      <c r="H33" s="42">
        <v>97.950978819453638</v>
      </c>
      <c r="I33" s="42">
        <v>96.999089738614956</v>
      </c>
      <c r="J33" s="1"/>
      <c r="K33" s="13"/>
    </row>
    <row r="34" spans="1:11" ht="14.4" customHeight="1" x14ac:dyDescent="0.3">
      <c r="A34" s="18"/>
      <c r="B34" s="19" t="s">
        <v>20</v>
      </c>
      <c r="C34" s="42">
        <v>100</v>
      </c>
      <c r="D34" s="42">
        <v>100</v>
      </c>
      <c r="E34" s="42">
        <v>100</v>
      </c>
      <c r="F34" s="42">
        <v>100</v>
      </c>
      <c r="G34" s="42">
        <v>100</v>
      </c>
      <c r="H34" s="42">
        <v>100</v>
      </c>
      <c r="I34" s="42">
        <v>100</v>
      </c>
      <c r="J34" s="1"/>
      <c r="K34" s="13"/>
    </row>
    <row r="35" spans="1:11" ht="14.4" customHeight="1" x14ac:dyDescent="0.3">
      <c r="A35" s="18"/>
      <c r="B35" s="19" t="s">
        <v>21</v>
      </c>
      <c r="C35" s="42">
        <v>0.5</v>
      </c>
      <c r="D35" s="42">
        <v>0.5</v>
      </c>
      <c r="E35" s="42">
        <v>0.5</v>
      </c>
      <c r="F35" s="42">
        <v>0.5</v>
      </c>
      <c r="G35" s="42">
        <v>0.5</v>
      </c>
      <c r="H35" s="42">
        <v>0.5</v>
      </c>
      <c r="I35" s="42">
        <v>0.5</v>
      </c>
      <c r="J35" s="1"/>
      <c r="K35" s="13"/>
    </row>
    <row r="36" spans="1:11" ht="14.4" customHeight="1" x14ac:dyDescent="0.3">
      <c r="A36" s="18"/>
      <c r="B36" s="19"/>
      <c r="C36" s="24"/>
      <c r="D36" s="24"/>
      <c r="E36" s="24"/>
      <c r="F36" s="24"/>
      <c r="G36" s="24"/>
      <c r="H36" s="24"/>
      <c r="I36" s="24"/>
      <c r="J36" s="1"/>
      <c r="K36" s="13"/>
    </row>
    <row r="37" spans="1:11" ht="14.4" customHeight="1" x14ac:dyDescent="0.3">
      <c r="A37" s="18"/>
      <c r="B37" s="20" t="s">
        <v>31</v>
      </c>
      <c r="C37" s="24"/>
      <c r="D37" s="24"/>
      <c r="E37" s="24"/>
      <c r="F37" s="24"/>
      <c r="G37" s="24"/>
      <c r="H37" s="24"/>
      <c r="I37" s="24"/>
      <c r="J37" s="1"/>
      <c r="K37" s="13"/>
    </row>
    <row r="38" spans="1:11" ht="14.4" customHeight="1" x14ac:dyDescent="0.3">
      <c r="A38" s="18"/>
      <c r="B38" s="19" t="s">
        <v>34</v>
      </c>
      <c r="C38" s="60">
        <v>1426.9544319450001</v>
      </c>
      <c r="D38" s="60">
        <f>$C38*(D$33/100)*(D$30/100)/(D$34/100)</f>
        <v>1466.3342002194802</v>
      </c>
      <c r="E38" s="60">
        <f t="shared" ref="E38:I38" si="9">$C38*(E$33/100)*(E$30/100)/(E$34/100)</f>
        <v>1510.6860589200926</v>
      </c>
      <c r="F38" s="60">
        <f t="shared" si="9"/>
        <v>1544.4317074932867</v>
      </c>
      <c r="G38" s="60">
        <f t="shared" si="9"/>
        <v>1569.6420230443071</v>
      </c>
      <c r="H38" s="60">
        <f t="shared" si="9"/>
        <v>1597.951290636202</v>
      </c>
      <c r="I38" s="60">
        <f t="shared" si="9"/>
        <v>1634.0495316311744</v>
      </c>
      <c r="J38" s="1"/>
      <c r="K38" s="13"/>
    </row>
    <row r="39" spans="1:11" ht="14.4" customHeight="1" x14ac:dyDescent="0.3">
      <c r="A39" s="18"/>
      <c r="B39" s="19" t="s">
        <v>35</v>
      </c>
      <c r="C39" s="60">
        <v>579.28343505599992</v>
      </c>
      <c r="D39" s="60">
        <f>$C39*(D$33/100)*(D$31/100)/(D$34/100)</f>
        <v>598.76198142508201</v>
      </c>
      <c r="E39" s="60">
        <f t="shared" ref="E39:I39" si="10">$C39*(E$33/100)*(E$31/100)/(E$34/100)</f>
        <v>611.2393628950249</v>
      </c>
      <c r="F39" s="60">
        <f t="shared" si="10"/>
        <v>628.13826981082741</v>
      </c>
      <c r="G39" s="60">
        <f t="shared" si="10"/>
        <v>643.71990062080556</v>
      </c>
      <c r="H39" s="60">
        <f t="shared" si="10"/>
        <v>660.65477697059589</v>
      </c>
      <c r="I39" s="60">
        <f t="shared" si="10"/>
        <v>677.5326569232019</v>
      </c>
      <c r="J39" s="1"/>
      <c r="K39" s="13"/>
    </row>
    <row r="40" spans="1:11" ht="14.4" customHeight="1" x14ac:dyDescent="0.3">
      <c r="A40" s="18"/>
      <c r="B40" s="21" t="s">
        <v>30</v>
      </c>
      <c r="C40" s="61">
        <f t="shared" ref="C40:I40" si="11">SUM(C38:C39)</f>
        <v>2006.237867001</v>
      </c>
      <c r="D40" s="61">
        <f t="shared" si="11"/>
        <v>2065.0961816445624</v>
      </c>
      <c r="E40" s="61">
        <f t="shared" si="11"/>
        <v>2121.9254218151173</v>
      </c>
      <c r="F40" s="61">
        <f t="shared" si="11"/>
        <v>2172.5699773041142</v>
      </c>
      <c r="G40" s="61">
        <f t="shared" si="11"/>
        <v>2213.3619236651125</v>
      </c>
      <c r="H40" s="61">
        <f t="shared" si="11"/>
        <v>2258.6060676067978</v>
      </c>
      <c r="I40" s="61">
        <f t="shared" si="11"/>
        <v>2311.5821885543764</v>
      </c>
      <c r="J40" s="1"/>
      <c r="K40" s="13"/>
    </row>
    <row r="41" spans="1:11" ht="14.4" customHeight="1" x14ac:dyDescent="0.3">
      <c r="A41" s="18"/>
      <c r="B41" s="19"/>
      <c r="C41" s="60"/>
      <c r="D41" s="60"/>
      <c r="E41" s="60"/>
      <c r="F41" s="60"/>
      <c r="G41" s="60"/>
      <c r="H41" s="60"/>
      <c r="I41" s="60"/>
      <c r="J41" s="1"/>
      <c r="K41" s="13"/>
    </row>
    <row r="42" spans="1:11" ht="14.4" customHeight="1" x14ac:dyDescent="0.3">
      <c r="A42" s="18"/>
      <c r="B42" s="20" t="s">
        <v>32</v>
      </c>
      <c r="C42" s="60"/>
      <c r="D42" s="60"/>
      <c r="E42" s="60"/>
      <c r="F42" s="60"/>
      <c r="G42" s="60"/>
      <c r="H42" s="60"/>
      <c r="I42" s="60"/>
      <c r="J42" s="1"/>
      <c r="K42" s="13"/>
    </row>
    <row r="43" spans="1:11" ht="14.4" customHeight="1" x14ac:dyDescent="0.3">
      <c r="A43" s="18"/>
      <c r="B43" s="19" t="s">
        <v>19</v>
      </c>
      <c r="C43" s="60">
        <v>982.81619037499991</v>
      </c>
      <c r="D43" s="60">
        <f>$C43*(D$33/100)*(((D$32*(1-D$35))+(D$31*D$35))/100)/(D$34/100)</f>
        <v>1010.0416178771694</v>
      </c>
      <c r="E43" s="60">
        <f t="shared" ref="E43:I43" si="12">$C43*(E$33/100)*(((E$32*(1-E$35))+(E$31*E$35))/100)/(E$34/100)</f>
        <v>1029.197699593665</v>
      </c>
      <c r="F43" s="60">
        <f t="shared" si="12"/>
        <v>1050.6919277961292</v>
      </c>
      <c r="G43" s="60">
        <f t="shared" si="12"/>
        <v>1069.7818937866011</v>
      </c>
      <c r="H43" s="60">
        <f t="shared" si="12"/>
        <v>1089.5136556608088</v>
      </c>
      <c r="I43" s="60">
        <f t="shared" si="12"/>
        <v>1108.1446323959369</v>
      </c>
      <c r="J43" s="1"/>
      <c r="K43" s="13"/>
    </row>
    <row r="44" spans="1:11" ht="14.4" customHeight="1" x14ac:dyDescent="0.3">
      <c r="A44" s="18"/>
      <c r="B44" s="21" t="s">
        <v>30</v>
      </c>
      <c r="C44" s="61">
        <f t="shared" ref="C44:I44" si="13">SUM(C43:C43)</f>
        <v>982.81619037499991</v>
      </c>
      <c r="D44" s="61">
        <f t="shared" si="13"/>
        <v>1010.0416178771694</v>
      </c>
      <c r="E44" s="61">
        <f t="shared" si="13"/>
        <v>1029.197699593665</v>
      </c>
      <c r="F44" s="61">
        <f t="shared" si="13"/>
        <v>1050.6919277961292</v>
      </c>
      <c r="G44" s="61">
        <f t="shared" si="13"/>
        <v>1069.7818937866011</v>
      </c>
      <c r="H44" s="61">
        <f t="shared" si="13"/>
        <v>1089.5136556608088</v>
      </c>
      <c r="I44" s="61">
        <f t="shared" si="13"/>
        <v>1108.1446323959369</v>
      </c>
      <c r="J44" s="1"/>
      <c r="K44" s="13"/>
    </row>
    <row r="45" spans="1:11" ht="14.4" customHeight="1" x14ac:dyDescent="0.3">
      <c r="A45" s="18"/>
      <c r="B45" s="21"/>
      <c r="C45" s="43"/>
      <c r="D45" s="43"/>
      <c r="E45" s="43"/>
      <c r="F45" s="43"/>
      <c r="G45" s="43"/>
      <c r="H45" s="43"/>
      <c r="I45" s="43"/>
      <c r="J45" s="1"/>
      <c r="K45" s="13"/>
    </row>
    <row r="46" spans="1:11" ht="7.05" customHeight="1" x14ac:dyDescent="0.3">
      <c r="A46" s="18"/>
      <c r="B46" s="51"/>
      <c r="C46" s="44"/>
      <c r="D46" s="44"/>
      <c r="E46" s="44"/>
      <c r="F46" s="44"/>
      <c r="G46" s="44"/>
      <c r="H46" s="44"/>
      <c r="I46" s="44"/>
      <c r="J46" s="1"/>
      <c r="K46" s="13"/>
    </row>
    <row r="47" spans="1:11" ht="14.4" customHeight="1" x14ac:dyDescent="0.3">
      <c r="A47" s="18"/>
      <c r="B47" s="22" t="s">
        <v>28</v>
      </c>
      <c r="C47" s="44"/>
      <c r="D47" s="44"/>
      <c r="E47" s="44"/>
      <c r="F47" s="44"/>
      <c r="G47" s="44"/>
      <c r="H47" s="44"/>
      <c r="I47" s="44"/>
      <c r="J47" s="1"/>
      <c r="K47" s="13"/>
    </row>
    <row r="48" spans="1:11" ht="14.4" customHeight="1" x14ac:dyDescent="0.3">
      <c r="A48" s="18"/>
      <c r="B48" s="15" t="s">
        <v>34</v>
      </c>
      <c r="C48" s="45">
        <v>0</v>
      </c>
      <c r="D48" s="45">
        <f>D38-$C38</f>
        <v>39.379768274480057</v>
      </c>
      <c r="E48" s="45">
        <f t="shared" ref="E48:I49" si="14">E38-$C38</f>
        <v>83.731626975092468</v>
      </c>
      <c r="F48" s="45">
        <f t="shared" si="14"/>
        <v>117.47727554828657</v>
      </c>
      <c r="G48" s="45">
        <f t="shared" si="14"/>
        <v>142.68759109930693</v>
      </c>
      <c r="H48" s="45">
        <f t="shared" si="14"/>
        <v>170.99685869120185</v>
      </c>
      <c r="I48" s="45">
        <f t="shared" si="14"/>
        <v>207.09509968617431</v>
      </c>
      <c r="J48" s="1"/>
      <c r="K48" s="13"/>
    </row>
    <row r="49" spans="1:11" ht="14.4" customHeight="1" x14ac:dyDescent="0.3">
      <c r="A49" s="18"/>
      <c r="B49" s="15" t="s">
        <v>35</v>
      </c>
      <c r="C49" s="45">
        <v>0</v>
      </c>
      <c r="D49" s="45">
        <f>D39-$C39</f>
        <v>19.478546369082096</v>
      </c>
      <c r="E49" s="45">
        <f t="shared" si="14"/>
        <v>31.95592783902498</v>
      </c>
      <c r="F49" s="45">
        <f t="shared" si="14"/>
        <v>48.854834754827493</v>
      </c>
      <c r="G49" s="45">
        <f t="shared" si="14"/>
        <v>64.436465564805644</v>
      </c>
      <c r="H49" s="45">
        <f t="shared" si="14"/>
        <v>81.371341914595973</v>
      </c>
      <c r="I49" s="45">
        <f t="shared" si="14"/>
        <v>98.249221867201982</v>
      </c>
      <c r="J49" s="1"/>
      <c r="K49" s="13"/>
    </row>
    <row r="50" spans="1:11" ht="14.4" customHeight="1" x14ac:dyDescent="0.3">
      <c r="A50" s="18"/>
      <c r="B50" s="15" t="s">
        <v>19</v>
      </c>
      <c r="C50" s="45">
        <v>0</v>
      </c>
      <c r="D50" s="45">
        <f>D43-$C43</f>
        <v>27.225427502169509</v>
      </c>
      <c r="E50" s="45">
        <f t="shared" ref="E50:I50" si="15">E43-$C43</f>
        <v>46.381509218665087</v>
      </c>
      <c r="F50" s="45">
        <f t="shared" si="15"/>
        <v>67.875737421129315</v>
      </c>
      <c r="G50" s="45">
        <f t="shared" si="15"/>
        <v>86.965703411601226</v>
      </c>
      <c r="H50" s="45">
        <f t="shared" si="15"/>
        <v>106.6974652858089</v>
      </c>
      <c r="I50" s="45">
        <f t="shared" si="15"/>
        <v>125.32844202093702</v>
      </c>
      <c r="J50" s="1"/>
      <c r="K50" s="13"/>
    </row>
    <row r="51" spans="1:11" ht="14.4" customHeight="1" x14ac:dyDescent="0.3">
      <c r="A51" s="18"/>
      <c r="B51" s="23" t="s">
        <v>30</v>
      </c>
      <c r="C51" s="46">
        <f>SUM(C48:C50)</f>
        <v>0</v>
      </c>
      <c r="D51" s="46">
        <f t="shared" ref="D51:I51" si="16">SUM(D48:D50)</f>
        <v>86.083742145731662</v>
      </c>
      <c r="E51" s="46">
        <f t="shared" si="16"/>
        <v>162.06906403278253</v>
      </c>
      <c r="F51" s="46">
        <f t="shared" si="16"/>
        <v>234.20784772424338</v>
      </c>
      <c r="G51" s="46">
        <f t="shared" si="16"/>
        <v>294.0897600757138</v>
      </c>
      <c r="H51" s="46">
        <f t="shared" si="16"/>
        <v>359.06566589160673</v>
      </c>
      <c r="I51" s="46">
        <f t="shared" si="16"/>
        <v>430.67276357431331</v>
      </c>
      <c r="J51" s="1"/>
      <c r="K51" s="13"/>
    </row>
    <row r="52" spans="1:11" ht="7.05" customHeight="1" x14ac:dyDescent="0.3">
      <c r="A52" s="18"/>
      <c r="B52" s="52"/>
      <c r="C52" s="53"/>
      <c r="D52" s="54"/>
      <c r="E52" s="55"/>
      <c r="F52" s="55"/>
      <c r="G52" s="55"/>
      <c r="H52" s="55"/>
      <c r="I52" s="55"/>
      <c r="J52" s="1"/>
      <c r="K52" s="13"/>
    </row>
    <row r="53" spans="1:11" ht="15.6" customHeight="1" x14ac:dyDescent="0.3">
      <c r="A53" s="18"/>
      <c r="B53" s="18"/>
      <c r="C53" s="1"/>
      <c r="D53" s="1"/>
      <c r="E53" s="1"/>
      <c r="F53" s="1"/>
      <c r="G53" s="1"/>
      <c r="H53" s="1"/>
      <c r="I53" s="1"/>
      <c r="J53" s="1"/>
      <c r="K53" s="13"/>
    </row>
    <row r="54" spans="1:11" ht="15.6" customHeight="1" x14ac:dyDescent="0.3">
      <c r="A54" s="1"/>
      <c r="B54" s="5"/>
      <c r="C54" s="5"/>
      <c r="D54" s="5"/>
      <c r="E54" s="5"/>
      <c r="F54" s="5"/>
      <c r="G54" s="5"/>
      <c r="H54" s="5"/>
      <c r="I54" s="5"/>
      <c r="J54" s="1"/>
      <c r="K54" s="13"/>
    </row>
    <row r="55" spans="1:11" ht="30.6" customHeight="1" x14ac:dyDescent="0.3">
      <c r="A55" s="4"/>
      <c r="B55" s="35" t="s">
        <v>23</v>
      </c>
      <c r="C55" s="36" t="s">
        <v>10</v>
      </c>
      <c r="D55" s="36" t="s">
        <v>11</v>
      </c>
      <c r="E55" s="36" t="s">
        <v>12</v>
      </c>
      <c r="F55" s="36" t="s">
        <v>13</v>
      </c>
      <c r="G55" s="36" t="s">
        <v>14</v>
      </c>
      <c r="H55" s="36" t="s">
        <v>15</v>
      </c>
      <c r="I55" s="36" t="s">
        <v>16</v>
      </c>
      <c r="J55" s="4"/>
      <c r="K55" s="13"/>
    </row>
    <row r="56" spans="1:11" ht="7.05" customHeight="1" x14ac:dyDescent="0.3">
      <c r="A56" s="4"/>
      <c r="B56" s="8"/>
      <c r="C56" s="4"/>
      <c r="D56" s="4"/>
      <c r="E56" s="4"/>
      <c r="F56" s="4"/>
      <c r="G56" s="4"/>
      <c r="H56" s="4"/>
      <c r="I56" s="4"/>
      <c r="J56" s="4"/>
      <c r="K56" s="13"/>
    </row>
    <row r="57" spans="1:11" x14ac:dyDescent="0.3">
      <c r="A57" s="4"/>
      <c r="B57" s="8" t="s">
        <v>29</v>
      </c>
      <c r="C57" s="24"/>
      <c r="D57" s="24"/>
      <c r="E57" s="24"/>
      <c r="F57" s="24"/>
      <c r="G57" s="24"/>
      <c r="H57" s="24"/>
      <c r="I57" s="24"/>
      <c r="J57" s="4"/>
      <c r="K57" s="16"/>
    </row>
    <row r="58" spans="1:11" x14ac:dyDescent="0.3">
      <c r="A58" s="4"/>
      <c r="B58" s="19" t="s">
        <v>17</v>
      </c>
      <c r="C58" s="42">
        <v>100</v>
      </c>
      <c r="D58" s="42">
        <v>103.16609720855303</v>
      </c>
      <c r="E58" s="42">
        <v>105.56229535778827</v>
      </c>
      <c r="F58" s="42">
        <v>109.02218109533275</v>
      </c>
      <c r="G58" s="42">
        <v>112.54214893173254</v>
      </c>
      <c r="H58" s="42">
        <v>116.43262519393782</v>
      </c>
      <c r="I58" s="42">
        <v>120.57894075177896</v>
      </c>
      <c r="J58" s="24"/>
      <c r="K58" s="16"/>
    </row>
    <row r="59" spans="1:11" x14ac:dyDescent="0.3">
      <c r="A59" s="4"/>
      <c r="B59" s="19" t="s">
        <v>18</v>
      </c>
      <c r="C59" s="42">
        <v>100</v>
      </c>
      <c r="D59" s="42">
        <v>101.98358882499656</v>
      </c>
      <c r="E59" s="42">
        <v>103.96717764999312</v>
      </c>
      <c r="F59" s="42">
        <v>105.95076647498968</v>
      </c>
      <c r="G59" s="42">
        <v>107.93435529998624</v>
      </c>
      <c r="H59" s="42">
        <v>109.9179441249828</v>
      </c>
      <c r="I59" s="42">
        <v>111.9015329499794</v>
      </c>
      <c r="J59" s="24"/>
      <c r="K59" s="16"/>
    </row>
    <row r="60" spans="1:11" x14ac:dyDescent="0.3">
      <c r="A60" s="4"/>
      <c r="B60" s="19" t="s">
        <v>27</v>
      </c>
      <c r="C60" s="42">
        <v>100</v>
      </c>
      <c r="D60" s="42">
        <v>104.90124359912217</v>
      </c>
      <c r="E60" s="42">
        <v>111.19531821506952</v>
      </c>
      <c r="F60" s="42">
        <v>117.86703730797367</v>
      </c>
      <c r="G60" s="42">
        <v>124.93905954645213</v>
      </c>
      <c r="H60" s="42">
        <v>132.43540311923925</v>
      </c>
      <c r="I60" s="42">
        <v>140.38152730639362</v>
      </c>
      <c r="J60" s="25"/>
      <c r="K60" s="16"/>
    </row>
    <row r="61" spans="1:11" x14ac:dyDescent="0.3">
      <c r="A61" s="4"/>
      <c r="B61" s="19" t="s">
        <v>22</v>
      </c>
      <c r="C61" s="42">
        <v>100</v>
      </c>
      <c r="D61" s="42">
        <v>102.98523831229416</v>
      </c>
      <c r="E61" s="42">
        <v>106.0595931024002</v>
      </c>
      <c r="F61" s="42">
        <v>109.22572470955635</v>
      </c>
      <c r="G61" s="42">
        <v>112.48637289046698</v>
      </c>
      <c r="H61" s="42">
        <v>115.84435919010326</v>
      </c>
      <c r="I61" s="42">
        <v>119.30258938327788</v>
      </c>
      <c r="J61" s="25"/>
      <c r="K61" s="16"/>
    </row>
    <row r="62" spans="1:11" x14ac:dyDescent="0.3">
      <c r="A62" s="4"/>
      <c r="B62" s="19" t="s">
        <v>20</v>
      </c>
      <c r="C62" s="42">
        <v>100</v>
      </c>
      <c r="D62" s="42">
        <v>100</v>
      </c>
      <c r="E62" s="42">
        <v>98</v>
      </c>
      <c r="F62" s="42">
        <v>98.5</v>
      </c>
      <c r="G62" s="42">
        <v>99</v>
      </c>
      <c r="H62" s="42">
        <v>99.5</v>
      </c>
      <c r="I62" s="42">
        <v>100</v>
      </c>
      <c r="J62" s="25"/>
      <c r="K62" s="16"/>
    </row>
    <row r="63" spans="1:11" x14ac:dyDescent="0.3">
      <c r="A63" s="4"/>
      <c r="B63" s="19" t="s">
        <v>21</v>
      </c>
      <c r="C63" s="42">
        <v>0.7</v>
      </c>
      <c r="D63" s="42">
        <v>0.7</v>
      </c>
      <c r="E63" s="42">
        <v>0.7</v>
      </c>
      <c r="F63" s="42">
        <v>0.7</v>
      </c>
      <c r="G63" s="42">
        <v>0.7</v>
      </c>
      <c r="H63" s="42">
        <v>0.7</v>
      </c>
      <c r="I63" s="42">
        <v>0.7</v>
      </c>
      <c r="J63" s="25"/>
      <c r="K63" s="16"/>
    </row>
    <row r="64" spans="1:11" x14ac:dyDescent="0.3">
      <c r="A64" s="4"/>
      <c r="B64" s="19" t="s">
        <v>62</v>
      </c>
      <c r="C64" s="42"/>
      <c r="D64" s="42"/>
      <c r="E64" s="42">
        <v>20.280877798165154</v>
      </c>
      <c r="F64" s="42">
        <v>20.280877798165154</v>
      </c>
      <c r="G64" s="42">
        <v>20.280877798165154</v>
      </c>
      <c r="H64" s="42">
        <v>20.280877798165154</v>
      </c>
      <c r="I64" s="42">
        <v>20.280877798165154</v>
      </c>
      <c r="J64" s="25"/>
      <c r="K64" s="16"/>
    </row>
    <row r="65" spans="1:11" x14ac:dyDescent="0.3">
      <c r="A65" s="4"/>
      <c r="B65" s="19"/>
      <c r="C65" s="24"/>
      <c r="D65" s="24"/>
      <c r="E65" s="24"/>
      <c r="F65" s="24"/>
      <c r="G65" s="24"/>
      <c r="H65" s="24"/>
      <c r="I65" s="24"/>
      <c r="J65" s="25"/>
      <c r="K65" s="16"/>
    </row>
    <row r="66" spans="1:11" x14ac:dyDescent="0.3">
      <c r="A66" s="4"/>
      <c r="B66" s="20" t="s">
        <v>31</v>
      </c>
      <c r="C66" s="24"/>
      <c r="D66" s="24"/>
      <c r="E66" s="24"/>
      <c r="F66" s="24"/>
      <c r="G66" s="24"/>
      <c r="H66" s="24"/>
      <c r="I66" s="24"/>
      <c r="J66" s="27"/>
      <c r="K66" s="16"/>
    </row>
    <row r="67" spans="1:11" x14ac:dyDescent="0.3">
      <c r="A67" s="4"/>
      <c r="B67" s="19" t="s">
        <v>24</v>
      </c>
      <c r="C67" s="60">
        <v>255.37531430545144</v>
      </c>
      <c r="D67" s="60">
        <f>($C67*(D$61/100)*(D$58/100)/(D$62/100))+(D$64*$J67)</f>
        <v>271.32567610069532</v>
      </c>
      <c r="E67" s="60">
        <f t="shared" ref="E67:I68" si="17">($C67*(E$61/100)*(E$58/100)/(E$62/100))+(E$64*$J67)</f>
        <v>299.20586596795522</v>
      </c>
      <c r="F67" s="60">
        <f t="shared" si="17"/>
        <v>316.18795461474838</v>
      </c>
      <c r="G67" s="60">
        <f t="shared" si="17"/>
        <v>334.01223722796828</v>
      </c>
      <c r="H67" s="60">
        <f t="shared" si="17"/>
        <v>353.63810133216015</v>
      </c>
      <c r="I67" s="60">
        <f t="shared" si="17"/>
        <v>374.82244876928814</v>
      </c>
      <c r="J67" s="65">
        <v>0.36760531820326231</v>
      </c>
      <c r="K67" s="16"/>
    </row>
    <row r="68" spans="1:11" x14ac:dyDescent="0.3">
      <c r="A68" s="4"/>
      <c r="B68" s="19" t="s">
        <v>25</v>
      </c>
      <c r="C68" s="60">
        <v>222.28101415659935</v>
      </c>
      <c r="D68" s="60">
        <f t="shared" ref="D68" si="18">($C68*(D$61/100)*(D$58/100)/(D$62/100))+(D$64*$J68)</f>
        <v>236.16435525264126</v>
      </c>
      <c r="E68" s="60">
        <f t="shared" si="17"/>
        <v>260.4315280427279</v>
      </c>
      <c r="F68" s="60">
        <f t="shared" si="17"/>
        <v>275.21289364641922</v>
      </c>
      <c r="G68" s="60">
        <f t="shared" si="17"/>
        <v>290.72731259742812</v>
      </c>
      <c r="H68" s="60">
        <f t="shared" si="17"/>
        <v>307.80984459016992</v>
      </c>
      <c r="I68" s="60">
        <f t="shared" si="17"/>
        <v>326.24889475982854</v>
      </c>
      <c r="J68" s="65">
        <v>0.31996703816816913</v>
      </c>
      <c r="K68" s="16"/>
    </row>
    <row r="69" spans="1:11" x14ac:dyDescent="0.3">
      <c r="A69" s="4"/>
      <c r="B69" s="19" t="s">
        <v>26</v>
      </c>
      <c r="C69" s="60">
        <v>213.07913410089643</v>
      </c>
      <c r="D69" s="60">
        <f>($C69*(D$60/100)*(D$58/100)/(D$62/100))+(D$64*$J69)</f>
        <v>230.5996062690156</v>
      </c>
      <c r="E69" s="60">
        <f t="shared" ref="E69:I69" si="19">($C69*(E$60/100)*(E$58/100)/(E$62/100))+(E$64*$J69)</f>
        <v>261.55364489832306</v>
      </c>
      <c r="F69" s="60">
        <f t="shared" si="19"/>
        <v>284.31526721120798</v>
      </c>
      <c r="G69" s="60">
        <f t="shared" si="19"/>
        <v>308.97131494937446</v>
      </c>
      <c r="H69" s="60">
        <f t="shared" si="19"/>
        <v>336.55117966494237</v>
      </c>
      <c r="I69" s="60">
        <f t="shared" si="19"/>
        <v>367.01654749313553</v>
      </c>
      <c r="J69" s="65">
        <v>0.31242764362856867</v>
      </c>
      <c r="K69" s="16"/>
    </row>
    <row r="70" spans="1:11" x14ac:dyDescent="0.3">
      <c r="A70" s="4"/>
      <c r="B70" s="21" t="s">
        <v>30</v>
      </c>
      <c r="C70" s="61">
        <f>SUM(C67:C69)</f>
        <v>690.73546256294719</v>
      </c>
      <c r="D70" s="61">
        <f t="shared" ref="D70:I70" si="20">SUM(D67:D69)</f>
        <v>738.08963762235214</v>
      </c>
      <c r="E70" s="61">
        <f t="shared" si="20"/>
        <v>821.19103890900624</v>
      </c>
      <c r="F70" s="61">
        <f t="shared" si="20"/>
        <v>875.71611547237558</v>
      </c>
      <c r="G70" s="61">
        <f t="shared" si="20"/>
        <v>933.71086477477081</v>
      </c>
      <c r="H70" s="61">
        <f t="shared" si="20"/>
        <v>997.99912558727237</v>
      </c>
      <c r="I70" s="61">
        <f t="shared" si="20"/>
        <v>1068.0878910222523</v>
      </c>
      <c r="J70" s="27"/>
      <c r="K70" s="16"/>
    </row>
    <row r="71" spans="1:11" x14ac:dyDescent="0.3">
      <c r="A71" s="4"/>
      <c r="B71" s="19"/>
      <c r="C71" s="60"/>
      <c r="D71" s="60"/>
      <c r="E71" s="60"/>
      <c r="F71" s="60"/>
      <c r="G71" s="60"/>
      <c r="H71" s="60"/>
      <c r="I71" s="60"/>
      <c r="J71" s="27"/>
      <c r="K71" s="16"/>
    </row>
    <row r="72" spans="1:11" s="14" customFormat="1" x14ac:dyDescent="0.3">
      <c r="A72" s="28"/>
      <c r="B72" s="20" t="s">
        <v>32</v>
      </c>
      <c r="C72" s="60"/>
      <c r="D72" s="60"/>
      <c r="E72" s="60"/>
      <c r="F72" s="60"/>
      <c r="G72" s="60"/>
      <c r="H72" s="60"/>
      <c r="I72" s="60"/>
      <c r="J72" s="29"/>
      <c r="K72" s="17"/>
    </row>
    <row r="73" spans="1:11" s="14" customFormat="1" x14ac:dyDescent="0.3">
      <c r="A73" s="28"/>
      <c r="B73" s="19" t="s">
        <v>24</v>
      </c>
      <c r="C73" s="60">
        <v>640.36996098400243</v>
      </c>
      <c r="D73" s="60">
        <f t="shared" ref="D73:I74" si="21">$C73*(D$61/100)*(((D$59*(1-D$63))+(D$58*D$63))/100)/(D$62/100)</f>
        <v>678.02696997636792</v>
      </c>
      <c r="E73" s="60">
        <f t="shared" si="21"/>
        <v>728.26667344970485</v>
      </c>
      <c r="F73" s="60">
        <f t="shared" si="21"/>
        <v>767.62372658625031</v>
      </c>
      <c r="G73" s="60">
        <f t="shared" si="21"/>
        <v>808.80433291030442</v>
      </c>
      <c r="H73" s="60">
        <f t="shared" si="21"/>
        <v>853.50414310118185</v>
      </c>
      <c r="I73" s="60">
        <f t="shared" si="21"/>
        <v>901.30846921933937</v>
      </c>
      <c r="J73" s="29"/>
      <c r="K73" s="17"/>
    </row>
    <row r="74" spans="1:11" s="14" customFormat="1" x14ac:dyDescent="0.3">
      <c r="A74" s="28"/>
      <c r="B74" s="19" t="s">
        <v>25</v>
      </c>
      <c r="C74" s="60">
        <v>557.38388320764761</v>
      </c>
      <c r="D74" s="60">
        <f t="shared" si="21"/>
        <v>590.1608889714679</v>
      </c>
      <c r="E74" s="60">
        <f t="shared" si="21"/>
        <v>633.88998733538813</v>
      </c>
      <c r="F74" s="60">
        <f t="shared" si="21"/>
        <v>668.14672710367574</v>
      </c>
      <c r="G74" s="60">
        <f t="shared" si="21"/>
        <v>703.99070427973834</v>
      </c>
      <c r="H74" s="60">
        <f t="shared" si="21"/>
        <v>742.89782875595733</v>
      </c>
      <c r="I74" s="60">
        <f t="shared" si="21"/>
        <v>784.50715234902486</v>
      </c>
      <c r="J74" s="29"/>
      <c r="K74" s="17"/>
    </row>
    <row r="75" spans="1:11" s="14" customFormat="1" x14ac:dyDescent="0.3">
      <c r="A75" s="28"/>
      <c r="B75" s="19" t="s">
        <v>26</v>
      </c>
      <c r="C75" s="60">
        <v>534.30957945876651</v>
      </c>
      <c r="D75" s="60">
        <f t="shared" ref="D75:I75" si="22">$C75*(D$60/100)*(((D$59*(1-D$63))+(D$58*D$63))/100)/(D$62/100)</f>
        <v>576.2549072513799</v>
      </c>
      <c r="E75" s="60">
        <f t="shared" si="22"/>
        <v>637.07269411557706</v>
      </c>
      <c r="F75" s="60">
        <f t="shared" si="22"/>
        <v>691.15878325435585</v>
      </c>
      <c r="G75" s="60">
        <f t="shared" si="22"/>
        <v>749.55550412176274</v>
      </c>
      <c r="H75" s="60">
        <f t="shared" si="22"/>
        <v>814.13579364333714</v>
      </c>
      <c r="I75" s="60">
        <f t="shared" si="22"/>
        <v>884.90276947666041</v>
      </c>
      <c r="J75" s="29"/>
      <c r="K75" s="17"/>
    </row>
    <row r="76" spans="1:11" s="14" customFormat="1" x14ac:dyDescent="0.3">
      <c r="A76" s="28"/>
      <c r="B76" s="21" t="s">
        <v>30</v>
      </c>
      <c r="C76" s="61">
        <f>SUM(C73:C75)</f>
        <v>1732.0634236504166</v>
      </c>
      <c r="D76" s="61">
        <f t="shared" ref="D76:I76" si="23">SUM(D73:D75)</f>
        <v>1844.4427661992158</v>
      </c>
      <c r="E76" s="61">
        <f t="shared" si="23"/>
        <v>1999.2293549006699</v>
      </c>
      <c r="F76" s="61">
        <f t="shared" si="23"/>
        <v>2126.9292369442819</v>
      </c>
      <c r="G76" s="61">
        <f t="shared" si="23"/>
        <v>2262.3505413118055</v>
      </c>
      <c r="H76" s="61">
        <f t="shared" si="23"/>
        <v>2410.5377655004763</v>
      </c>
      <c r="I76" s="61">
        <f t="shared" si="23"/>
        <v>2570.7183910450249</v>
      </c>
      <c r="J76" s="29"/>
      <c r="K76" s="17"/>
    </row>
    <row r="77" spans="1:11" s="14" customFormat="1" x14ac:dyDescent="0.3">
      <c r="A77" s="28"/>
      <c r="B77" s="21"/>
      <c r="C77" s="43"/>
      <c r="D77" s="43"/>
      <c r="E77" s="43"/>
      <c r="F77" s="43"/>
      <c r="G77" s="43"/>
      <c r="H77" s="43"/>
      <c r="I77" s="43"/>
      <c r="J77" s="29"/>
      <c r="K77" s="17"/>
    </row>
    <row r="78" spans="1:11" ht="7.05" customHeight="1" x14ac:dyDescent="0.3">
      <c r="A78" s="4"/>
      <c r="B78" s="51"/>
      <c r="C78" s="44"/>
      <c r="D78" s="44"/>
      <c r="E78" s="44"/>
      <c r="F78" s="44"/>
      <c r="G78" s="44"/>
      <c r="H78" s="44"/>
      <c r="I78" s="44"/>
      <c r="J78" s="27"/>
      <c r="K78" s="16"/>
    </row>
    <row r="79" spans="1:11" x14ac:dyDescent="0.3">
      <c r="A79" s="4"/>
      <c r="B79" s="22" t="s">
        <v>28</v>
      </c>
      <c r="C79" s="44"/>
      <c r="D79" s="44"/>
      <c r="E79" s="44"/>
      <c r="F79" s="44"/>
      <c r="G79" s="44"/>
      <c r="H79" s="44"/>
      <c r="I79" s="44"/>
      <c r="J79" s="30"/>
      <c r="K79" s="16"/>
    </row>
    <row r="80" spans="1:11" x14ac:dyDescent="0.3">
      <c r="A80" s="4"/>
      <c r="B80" s="15" t="s">
        <v>24</v>
      </c>
      <c r="C80" s="45">
        <v>0</v>
      </c>
      <c r="D80" s="45">
        <f>(D67+D73)-($C67+$C73)</f>
        <v>53.607370787609398</v>
      </c>
      <c r="E80" s="45">
        <f t="shared" ref="E80:I82" si="24">(E67+E73)-($C67+$C73)</f>
        <v>131.72726412820623</v>
      </c>
      <c r="F80" s="45">
        <f t="shared" si="24"/>
        <v>188.06640591154485</v>
      </c>
      <c r="G80" s="45">
        <f t="shared" si="24"/>
        <v>247.07129484881887</v>
      </c>
      <c r="H80" s="45">
        <f t="shared" si="24"/>
        <v>311.39696914388821</v>
      </c>
      <c r="I80" s="45">
        <f t="shared" si="24"/>
        <v>380.38564269917367</v>
      </c>
      <c r="J80" s="31"/>
      <c r="K80" s="16"/>
    </row>
    <row r="81" spans="1:11" x14ac:dyDescent="0.3">
      <c r="A81" s="4"/>
      <c r="B81" s="15" t="s">
        <v>25</v>
      </c>
      <c r="C81" s="45">
        <v>0</v>
      </c>
      <c r="D81" s="45">
        <f>(D68+D74)-($C68+$C74)</f>
        <v>46.660346859862216</v>
      </c>
      <c r="E81" s="45">
        <f t="shared" si="24"/>
        <v>114.65661801386909</v>
      </c>
      <c r="F81" s="45">
        <f t="shared" si="24"/>
        <v>163.69472338584808</v>
      </c>
      <c r="G81" s="45">
        <f t="shared" si="24"/>
        <v>215.05311951291958</v>
      </c>
      <c r="H81" s="45">
        <f t="shared" si="24"/>
        <v>271.04277598188025</v>
      </c>
      <c r="I81" s="45">
        <f t="shared" si="24"/>
        <v>331.09114974460647</v>
      </c>
      <c r="J81" s="27"/>
      <c r="K81" s="16"/>
    </row>
    <row r="82" spans="1:11" x14ac:dyDescent="0.3">
      <c r="A82" s="4"/>
      <c r="B82" s="15" t="s">
        <v>26</v>
      </c>
      <c r="C82" s="45">
        <v>0</v>
      </c>
      <c r="D82" s="45">
        <f>(D69+D75)-($C69+$C75)</f>
        <v>59.465799960732511</v>
      </c>
      <c r="E82" s="45">
        <f t="shared" si="24"/>
        <v>151.23762545423722</v>
      </c>
      <c r="F82" s="45">
        <f t="shared" si="24"/>
        <v>228.08533690590082</v>
      </c>
      <c r="G82" s="45">
        <f t="shared" si="24"/>
        <v>311.13810551147424</v>
      </c>
      <c r="H82" s="45">
        <f t="shared" si="24"/>
        <v>403.29825974861649</v>
      </c>
      <c r="I82" s="45">
        <f t="shared" si="24"/>
        <v>504.53060341013304</v>
      </c>
      <c r="J82" s="32"/>
      <c r="K82" s="16"/>
    </row>
    <row r="83" spans="1:11" x14ac:dyDescent="0.3">
      <c r="A83" s="4"/>
      <c r="B83" s="23" t="s">
        <v>30</v>
      </c>
      <c r="C83" s="46">
        <f>SUM(C80:C82)</f>
        <v>0</v>
      </c>
      <c r="D83" s="46">
        <f t="shared" ref="D83:I83" si="25">SUM(D80:D82)</f>
        <v>159.73351760820412</v>
      </c>
      <c r="E83" s="46">
        <f t="shared" si="25"/>
        <v>397.62150759631254</v>
      </c>
      <c r="F83" s="46">
        <f t="shared" si="25"/>
        <v>579.84646620329374</v>
      </c>
      <c r="G83" s="46">
        <f t="shared" si="25"/>
        <v>773.26251987321268</v>
      </c>
      <c r="H83" s="46">
        <f t="shared" si="25"/>
        <v>985.73800487438496</v>
      </c>
      <c r="I83" s="46">
        <f t="shared" si="25"/>
        <v>1216.0073958539133</v>
      </c>
      <c r="J83" s="27"/>
      <c r="K83" s="16"/>
    </row>
    <row r="84" spans="1:11" ht="7.05" customHeight="1" x14ac:dyDescent="0.3">
      <c r="A84" s="4"/>
      <c r="B84" s="52"/>
      <c r="C84" s="53"/>
      <c r="D84" s="54"/>
      <c r="E84" s="55"/>
      <c r="F84" s="55"/>
      <c r="G84" s="55"/>
      <c r="H84" s="55"/>
      <c r="I84" s="55"/>
      <c r="J84" s="32"/>
      <c r="K84" s="16"/>
    </row>
    <row r="85" spans="1:11" ht="15.6" customHeight="1" x14ac:dyDescent="0.3">
      <c r="A85" s="4"/>
      <c r="B85" s="26"/>
      <c r="C85" s="33"/>
      <c r="D85" s="34"/>
      <c r="E85" s="32"/>
      <c r="F85" s="32"/>
      <c r="G85" s="32"/>
      <c r="H85" s="32"/>
      <c r="I85" s="32"/>
      <c r="J85" s="32"/>
      <c r="K85" s="16"/>
    </row>
    <row r="86" spans="1:11" ht="15.6" customHeight="1" x14ac:dyDescent="0.3">
      <c r="A86" s="1"/>
      <c r="B86" s="1"/>
      <c r="C86" s="1"/>
      <c r="D86" s="1"/>
      <c r="E86" s="1"/>
      <c r="F86" s="1"/>
      <c r="G86" s="1"/>
      <c r="H86" s="1"/>
      <c r="I86" s="1"/>
      <c r="J86" s="1"/>
      <c r="K86" s="13"/>
    </row>
    <row r="87" spans="1:11" ht="30.6" customHeight="1" x14ac:dyDescent="0.3">
      <c r="B87" s="35" t="s">
        <v>37</v>
      </c>
      <c r="C87" s="36" t="s">
        <v>10</v>
      </c>
      <c r="D87" s="36" t="s">
        <v>11</v>
      </c>
      <c r="E87" s="36" t="s">
        <v>12</v>
      </c>
      <c r="F87" s="36" t="s">
        <v>13</v>
      </c>
      <c r="G87" s="36" t="s">
        <v>14</v>
      </c>
      <c r="H87" s="36" t="s">
        <v>15</v>
      </c>
      <c r="I87" s="36" t="s">
        <v>16</v>
      </c>
    </row>
    <row r="88" spans="1:11" ht="7.05" customHeight="1" x14ac:dyDescent="0.3">
      <c r="B88" s="8"/>
      <c r="C88" s="4"/>
      <c r="D88" s="4"/>
      <c r="E88" s="4"/>
      <c r="F88" s="4"/>
      <c r="G88" s="4"/>
      <c r="H88" s="4"/>
      <c r="I88" s="4"/>
    </row>
    <row r="89" spans="1:11" x14ac:dyDescent="0.3">
      <c r="B89" s="8" t="s">
        <v>29</v>
      </c>
      <c r="C89" s="24"/>
      <c r="D89" s="24"/>
      <c r="E89" s="24"/>
      <c r="F89" s="24"/>
      <c r="G89" s="24"/>
      <c r="H89" s="24"/>
      <c r="I89" s="24"/>
    </row>
    <row r="90" spans="1:11" x14ac:dyDescent="0.3">
      <c r="B90" s="19" t="s">
        <v>17</v>
      </c>
      <c r="C90" s="42">
        <v>100</v>
      </c>
      <c r="D90" s="42">
        <v>103.16609720855303</v>
      </c>
      <c r="E90" s="42">
        <v>105.56229535778827</v>
      </c>
      <c r="F90" s="42">
        <v>109.02218109533275</v>
      </c>
      <c r="G90" s="42">
        <v>112.54214893173254</v>
      </c>
      <c r="H90" s="42">
        <v>116.43262519393782</v>
      </c>
      <c r="I90" s="42">
        <v>120.57894075177896</v>
      </c>
    </row>
    <row r="91" spans="1:11" x14ac:dyDescent="0.3">
      <c r="B91" s="19" t="s">
        <v>18</v>
      </c>
      <c r="C91" s="42">
        <v>100</v>
      </c>
      <c r="D91" s="42">
        <v>101.98358882499656</v>
      </c>
      <c r="E91" s="42">
        <v>103.96717764999312</v>
      </c>
      <c r="F91" s="42">
        <v>105.95076647498968</v>
      </c>
      <c r="G91" s="42">
        <v>107.93435529998624</v>
      </c>
      <c r="H91" s="42">
        <v>109.9179441249828</v>
      </c>
      <c r="I91" s="42">
        <v>111.9015329499794</v>
      </c>
    </row>
    <row r="92" spans="1:11" x14ac:dyDescent="0.3">
      <c r="B92" s="19" t="s">
        <v>46</v>
      </c>
      <c r="C92" s="42">
        <v>100</v>
      </c>
      <c r="D92" s="42">
        <v>100.39418857405202</v>
      </c>
      <c r="E92" s="42">
        <v>100.73542312926207</v>
      </c>
      <c r="F92" s="42">
        <v>101.03179430361975</v>
      </c>
      <c r="G92" s="42">
        <v>101.30344937211891</v>
      </c>
      <c r="H92" s="42">
        <v>101.52123031000468</v>
      </c>
      <c r="I92" s="42">
        <v>101.71730930128298</v>
      </c>
    </row>
    <row r="93" spans="1:11" x14ac:dyDescent="0.3">
      <c r="B93" s="19" t="s">
        <v>20</v>
      </c>
      <c r="C93" s="42">
        <v>100</v>
      </c>
      <c r="D93" s="42">
        <v>100</v>
      </c>
      <c r="E93" s="42">
        <v>100</v>
      </c>
      <c r="F93" s="42">
        <v>100</v>
      </c>
      <c r="G93" s="42">
        <v>100</v>
      </c>
      <c r="H93" s="42">
        <v>100</v>
      </c>
      <c r="I93" s="42">
        <v>100</v>
      </c>
    </row>
    <row r="94" spans="1:11" x14ac:dyDescent="0.3">
      <c r="B94" s="19" t="s">
        <v>21</v>
      </c>
      <c r="C94" s="42">
        <v>0.5</v>
      </c>
      <c r="D94" s="42">
        <v>0.5</v>
      </c>
      <c r="E94" s="42">
        <v>0.5</v>
      </c>
      <c r="F94" s="42">
        <v>0.5</v>
      </c>
      <c r="G94" s="42">
        <v>0.5</v>
      </c>
      <c r="H94" s="42">
        <v>0.5</v>
      </c>
      <c r="I94" s="42">
        <v>0.5</v>
      </c>
    </row>
    <row r="95" spans="1:11" x14ac:dyDescent="0.3">
      <c r="B95" s="19"/>
      <c r="C95" s="24"/>
      <c r="D95" s="24"/>
      <c r="E95" s="24"/>
      <c r="F95" s="24"/>
      <c r="G95" s="24"/>
      <c r="H95" s="24"/>
      <c r="I95" s="24"/>
    </row>
    <row r="96" spans="1:11" x14ac:dyDescent="0.3">
      <c r="B96" s="20" t="s">
        <v>31</v>
      </c>
      <c r="C96" s="24"/>
      <c r="D96" s="24"/>
      <c r="E96" s="24"/>
      <c r="F96" s="24"/>
      <c r="G96" s="24"/>
      <c r="H96" s="24"/>
      <c r="I96" s="24"/>
    </row>
    <row r="97" spans="2:11" x14ac:dyDescent="0.3">
      <c r="B97" s="19" t="s">
        <v>47</v>
      </c>
      <c r="C97" s="60">
        <v>843.98735326915812</v>
      </c>
      <c r="D97" s="60">
        <f>$C97*(D$92/100)*(D$90/100)/(D$93/100)</f>
        <v>874.14104795685228</v>
      </c>
      <c r="E97" s="60">
        <f t="shared" ref="E97:I97" si="26">$C97*(E$92/100)*(E$90/100)/(E$93/100)</f>
        <v>897.48454574256073</v>
      </c>
      <c r="F97" s="60">
        <f t="shared" si="26"/>
        <v>929.62730492332037</v>
      </c>
      <c r="G97" s="60">
        <f t="shared" si="26"/>
        <v>962.22220720223413</v>
      </c>
      <c r="H97" s="60">
        <f t="shared" si="26"/>
        <v>997.62540648711354</v>
      </c>
      <c r="I97" s="60">
        <f t="shared" si="26"/>
        <v>1035.1475695732943</v>
      </c>
    </row>
    <row r="98" spans="2:11" s="2" customFormat="1" x14ac:dyDescent="0.3">
      <c r="B98" s="21" t="s">
        <v>30</v>
      </c>
      <c r="C98" s="61">
        <f t="shared" ref="C98:I98" si="27">SUM(C97:C97)</f>
        <v>843.98735326915812</v>
      </c>
      <c r="D98" s="61">
        <f t="shared" si="27"/>
        <v>874.14104795685228</v>
      </c>
      <c r="E98" s="61">
        <f t="shared" si="27"/>
        <v>897.48454574256073</v>
      </c>
      <c r="F98" s="61">
        <f t="shared" si="27"/>
        <v>929.62730492332037</v>
      </c>
      <c r="G98" s="61">
        <f t="shared" si="27"/>
        <v>962.22220720223413</v>
      </c>
      <c r="H98" s="61">
        <f t="shared" si="27"/>
        <v>997.62540648711354</v>
      </c>
      <c r="I98" s="61">
        <f t="shared" si="27"/>
        <v>1035.1475695732943</v>
      </c>
      <c r="K98"/>
    </row>
    <row r="99" spans="2:11" s="2" customFormat="1" x14ac:dyDescent="0.3">
      <c r="B99" s="19"/>
      <c r="C99" s="60"/>
      <c r="D99" s="60"/>
      <c r="E99" s="60"/>
      <c r="F99" s="60"/>
      <c r="G99" s="60"/>
      <c r="H99" s="60"/>
      <c r="I99" s="60"/>
      <c r="K99"/>
    </row>
    <row r="100" spans="2:11" s="2" customFormat="1" x14ac:dyDescent="0.3">
      <c r="B100" s="20" t="s">
        <v>32</v>
      </c>
      <c r="C100" s="60"/>
      <c r="D100" s="60"/>
      <c r="E100" s="60"/>
      <c r="F100" s="60"/>
      <c r="G100" s="60"/>
      <c r="H100" s="60"/>
      <c r="I100" s="60"/>
      <c r="K100"/>
    </row>
    <row r="101" spans="2:11" s="2" customFormat="1" x14ac:dyDescent="0.3">
      <c r="B101" s="19" t="s">
        <v>19</v>
      </c>
      <c r="C101" s="60">
        <v>1163.3899671729218</v>
      </c>
      <c r="D101" s="60">
        <f>$C101*(D$92/100)*(((D$91*(1-D$94))+(D$90*D$94))/100)/(D$93/100)</f>
        <v>1198.0494638444211</v>
      </c>
      <c r="E101" s="60">
        <f t="shared" ref="E101:I101" si="28">$C101*(E$92/100)*(((E$91*(1-E$94))+(E$90*E$94))/100)/(E$93/100)</f>
        <v>1227.785935702899</v>
      </c>
      <c r="F101" s="60">
        <f t="shared" si="28"/>
        <v>1263.3893041918404</v>
      </c>
      <c r="G101" s="60">
        <f t="shared" si="28"/>
        <v>1299.2175132728505</v>
      </c>
      <c r="H101" s="60">
        <f t="shared" si="28"/>
        <v>1336.6994887562741</v>
      </c>
      <c r="I101" s="60">
        <f t="shared" si="28"/>
        <v>1375.5508950465821</v>
      </c>
      <c r="K101"/>
    </row>
    <row r="102" spans="2:11" s="2" customFormat="1" x14ac:dyDescent="0.3">
      <c r="B102" s="21" t="s">
        <v>30</v>
      </c>
      <c r="C102" s="61">
        <f t="shared" ref="C102:I102" si="29">SUM(C101:C101)</f>
        <v>1163.3899671729218</v>
      </c>
      <c r="D102" s="61">
        <f t="shared" si="29"/>
        <v>1198.0494638444211</v>
      </c>
      <c r="E102" s="61">
        <f t="shared" si="29"/>
        <v>1227.785935702899</v>
      </c>
      <c r="F102" s="61">
        <f t="shared" si="29"/>
        <v>1263.3893041918404</v>
      </c>
      <c r="G102" s="61">
        <f t="shared" si="29"/>
        <v>1299.2175132728505</v>
      </c>
      <c r="H102" s="61">
        <f t="shared" si="29"/>
        <v>1336.6994887562741</v>
      </c>
      <c r="I102" s="61">
        <f t="shared" si="29"/>
        <v>1375.5508950465821</v>
      </c>
      <c r="K102"/>
    </row>
    <row r="103" spans="2:11" s="2" customFormat="1" x14ac:dyDescent="0.3">
      <c r="B103" s="21"/>
      <c r="C103" s="43"/>
      <c r="D103" s="43"/>
      <c r="E103" s="43"/>
      <c r="F103" s="43"/>
      <c r="G103" s="43"/>
      <c r="H103" s="43"/>
      <c r="I103" s="43"/>
      <c r="K103"/>
    </row>
    <row r="104" spans="2:11" s="2" customFormat="1" ht="7.05" customHeight="1" x14ac:dyDescent="0.3">
      <c r="B104" s="51"/>
      <c r="C104" s="44"/>
      <c r="D104" s="44"/>
      <c r="E104" s="44"/>
      <c r="F104" s="44"/>
      <c r="G104" s="44"/>
      <c r="H104" s="44"/>
      <c r="I104" s="44"/>
      <c r="K104"/>
    </row>
    <row r="105" spans="2:11" s="2" customFormat="1" x14ac:dyDescent="0.3">
      <c r="B105" s="22" t="s">
        <v>28</v>
      </c>
      <c r="C105" s="44"/>
      <c r="D105" s="44"/>
      <c r="E105" s="44"/>
      <c r="F105" s="44"/>
      <c r="G105" s="44"/>
      <c r="H105" s="44"/>
      <c r="I105" s="44"/>
      <c r="K105"/>
    </row>
    <row r="106" spans="2:11" s="2" customFormat="1" x14ac:dyDescent="0.3">
      <c r="B106" s="15" t="s">
        <v>47</v>
      </c>
      <c r="C106" s="45">
        <v>0</v>
      </c>
      <c r="D106" s="45">
        <f>D98-$C98</f>
        <v>30.153694687694156</v>
      </c>
      <c r="E106" s="45">
        <f t="shared" ref="E106:I106" si="30">E98-$C98</f>
        <v>53.497192473402606</v>
      </c>
      <c r="F106" s="45">
        <f t="shared" si="30"/>
        <v>85.639951654162246</v>
      </c>
      <c r="G106" s="45">
        <f t="shared" si="30"/>
        <v>118.23485393307601</v>
      </c>
      <c r="H106" s="45">
        <f t="shared" si="30"/>
        <v>153.63805321795542</v>
      </c>
      <c r="I106" s="45">
        <f t="shared" si="30"/>
        <v>191.16021630413616</v>
      </c>
      <c r="K106"/>
    </row>
    <row r="107" spans="2:11" s="2" customFormat="1" x14ac:dyDescent="0.3">
      <c r="B107" s="15" t="s">
        <v>19</v>
      </c>
      <c r="C107" s="45">
        <v>0</v>
      </c>
      <c r="D107" s="45">
        <f>D102-$C102</f>
        <v>34.659496671499255</v>
      </c>
      <c r="E107" s="45">
        <f t="shared" ref="E107:I107" si="31">E102-$C102</f>
        <v>64.395968529977154</v>
      </c>
      <c r="F107" s="45">
        <f t="shared" si="31"/>
        <v>99.999337018918595</v>
      </c>
      <c r="G107" s="45">
        <f t="shared" si="31"/>
        <v>135.82754609992867</v>
      </c>
      <c r="H107" s="45">
        <f t="shared" si="31"/>
        <v>173.30952158335231</v>
      </c>
      <c r="I107" s="45">
        <f t="shared" si="31"/>
        <v>212.16092787366028</v>
      </c>
      <c r="K107"/>
    </row>
    <row r="108" spans="2:11" s="2" customFormat="1" x14ac:dyDescent="0.3">
      <c r="B108" s="23" t="s">
        <v>30</v>
      </c>
      <c r="C108" s="46">
        <f>SUM(C106:C107)</f>
        <v>0</v>
      </c>
      <c r="D108" s="46">
        <f>SUM(D106:D107)</f>
        <v>64.813191359193411</v>
      </c>
      <c r="E108" s="46">
        <f t="shared" ref="E108:I108" si="32">SUM(E106:E107)</f>
        <v>117.89316100337976</v>
      </c>
      <c r="F108" s="46">
        <f t="shared" si="32"/>
        <v>185.63928867308084</v>
      </c>
      <c r="G108" s="46">
        <f t="shared" si="32"/>
        <v>254.06240003300468</v>
      </c>
      <c r="H108" s="46">
        <f t="shared" si="32"/>
        <v>326.94757480130772</v>
      </c>
      <c r="I108" s="46">
        <f t="shared" si="32"/>
        <v>403.32114417779644</v>
      </c>
      <c r="K108"/>
    </row>
    <row r="109" spans="2:11" s="2" customFormat="1" ht="7.05" customHeight="1" x14ac:dyDescent="0.3">
      <c r="B109" s="52"/>
      <c r="C109" s="53"/>
      <c r="D109" s="54"/>
      <c r="E109" s="55"/>
      <c r="F109" s="55"/>
      <c r="G109" s="55"/>
      <c r="H109" s="55"/>
      <c r="I109" s="55"/>
      <c r="K109"/>
    </row>
    <row r="110" spans="2:11" s="2" customFormat="1" x14ac:dyDescent="0.3">
      <c r="B110" s="50" t="s">
        <v>43</v>
      </c>
      <c r="K110"/>
    </row>
    <row r="111" spans="2:11" s="2" customFormat="1" ht="15.6" customHeight="1" x14ac:dyDescent="0.3">
      <c r="K111"/>
    </row>
    <row r="112" spans="2:11" s="2" customFormat="1" ht="15.6" customHeight="1" x14ac:dyDescent="0.3">
      <c r="K112"/>
    </row>
    <row r="113" spans="2:11" s="2" customFormat="1" ht="30.6" customHeight="1" x14ac:dyDescent="0.3">
      <c r="B113" s="35" t="s">
        <v>40</v>
      </c>
      <c r="C113" s="36" t="s">
        <v>10</v>
      </c>
      <c r="D113" s="36" t="s">
        <v>11</v>
      </c>
      <c r="E113" s="36" t="s">
        <v>12</v>
      </c>
      <c r="F113" s="36" t="s">
        <v>13</v>
      </c>
      <c r="G113" s="36" t="s">
        <v>14</v>
      </c>
      <c r="H113" s="36" t="s">
        <v>15</v>
      </c>
      <c r="I113" s="36" t="s">
        <v>16</v>
      </c>
      <c r="K113"/>
    </row>
    <row r="114" spans="2:11" s="2" customFormat="1" ht="7.05" customHeight="1" x14ac:dyDescent="0.3">
      <c r="B114" s="8"/>
      <c r="C114" s="4"/>
      <c r="D114" s="4"/>
      <c r="E114" s="4"/>
      <c r="F114" s="4"/>
      <c r="G114" s="4"/>
      <c r="H114" s="4"/>
      <c r="I114" s="4"/>
      <c r="K114"/>
    </row>
    <row r="115" spans="2:11" s="2" customFormat="1" ht="14.4" customHeight="1" x14ac:dyDescent="0.3">
      <c r="B115" s="8" t="s">
        <v>29</v>
      </c>
      <c r="C115" s="24"/>
      <c r="D115" s="24"/>
      <c r="E115" s="24"/>
      <c r="F115" s="24"/>
      <c r="G115" s="24"/>
      <c r="H115" s="24"/>
      <c r="I115" s="24"/>
      <c r="K115"/>
    </row>
    <row r="116" spans="2:11" s="2" customFormat="1" ht="14.4" customHeight="1" x14ac:dyDescent="0.3">
      <c r="B116" s="19" t="s">
        <v>58</v>
      </c>
      <c r="C116" s="63">
        <v>0</v>
      </c>
      <c r="D116" s="63">
        <v>0</v>
      </c>
      <c r="E116" s="63">
        <v>0.1</v>
      </c>
      <c r="F116" s="63">
        <v>0.17499999999999999</v>
      </c>
      <c r="G116" s="63">
        <v>0.15</v>
      </c>
      <c r="H116" s="63">
        <v>0.125</v>
      </c>
      <c r="I116" s="63">
        <v>0.1</v>
      </c>
      <c r="K116"/>
    </row>
    <row r="117" spans="2:11" s="2" customFormat="1" ht="14.4" customHeight="1" x14ac:dyDescent="0.3">
      <c r="B117" s="19" t="s">
        <v>57</v>
      </c>
      <c r="C117" s="42"/>
      <c r="D117" s="42">
        <v>311.27107136791261</v>
      </c>
      <c r="E117" s="42"/>
      <c r="F117" s="42"/>
      <c r="G117" s="42"/>
      <c r="H117" s="42"/>
      <c r="I117" s="42"/>
      <c r="K117"/>
    </row>
    <row r="118" spans="2:11" s="2" customFormat="1" ht="14.4" customHeight="1" x14ac:dyDescent="0.3">
      <c r="B118" s="19" t="s">
        <v>50</v>
      </c>
      <c r="C118" s="63">
        <v>1</v>
      </c>
      <c r="D118" s="63">
        <v>1</v>
      </c>
      <c r="E118" s="63">
        <v>0.95</v>
      </c>
      <c r="F118" s="63">
        <v>0.91249999999999998</v>
      </c>
      <c r="G118" s="63">
        <v>0.92500000000000004</v>
      </c>
      <c r="H118" s="63">
        <v>0.9375</v>
      </c>
      <c r="I118" s="63">
        <v>0.95</v>
      </c>
      <c r="K118"/>
    </row>
    <row r="119" spans="2:11" s="2" customFormat="1" ht="14.4" customHeight="1" x14ac:dyDescent="0.3">
      <c r="B119" s="19" t="s">
        <v>51</v>
      </c>
      <c r="C119" s="63">
        <v>1</v>
      </c>
      <c r="D119" s="63">
        <v>1</v>
      </c>
      <c r="E119" s="63">
        <v>0.95</v>
      </c>
      <c r="F119" s="63">
        <v>0.91249999999999998</v>
      </c>
      <c r="G119" s="63">
        <v>0.92500000000000004</v>
      </c>
      <c r="H119" s="63">
        <v>0.9375</v>
      </c>
      <c r="I119" s="63">
        <v>0.95</v>
      </c>
      <c r="K119"/>
    </row>
    <row r="120" spans="2:11" s="2" customFormat="1" ht="14.4" customHeight="1" x14ac:dyDescent="0.3">
      <c r="B120" s="19" t="s">
        <v>52</v>
      </c>
      <c r="C120" s="63">
        <v>1</v>
      </c>
      <c r="D120" s="63">
        <v>1</v>
      </c>
      <c r="E120" s="63">
        <v>0.95</v>
      </c>
      <c r="F120" s="63">
        <v>0.91249999999999998</v>
      </c>
      <c r="G120" s="63">
        <v>0.92500000000000004</v>
      </c>
      <c r="H120" s="63">
        <v>0.9375</v>
      </c>
      <c r="I120" s="63">
        <v>0.95</v>
      </c>
      <c r="K120"/>
    </row>
    <row r="121" spans="2:11" s="2" customFormat="1" ht="14.4" customHeight="1" x14ac:dyDescent="0.3">
      <c r="B121" s="19"/>
      <c r="C121" s="24"/>
      <c r="D121" s="24"/>
      <c r="E121" s="24"/>
      <c r="F121" s="24"/>
      <c r="G121" s="24"/>
      <c r="H121" s="24"/>
      <c r="I121" s="24"/>
      <c r="K121"/>
    </row>
    <row r="122" spans="2:11" s="2" customFormat="1" ht="14.4" customHeight="1" x14ac:dyDescent="0.3">
      <c r="B122" s="8" t="s">
        <v>48</v>
      </c>
      <c r="C122" s="24"/>
      <c r="D122" s="24"/>
      <c r="E122" s="24"/>
      <c r="F122" s="24"/>
      <c r="G122" s="24"/>
      <c r="H122" s="24"/>
      <c r="I122" s="24"/>
      <c r="K122"/>
    </row>
    <row r="123" spans="2:11" s="2" customFormat="1" ht="14.4" customHeight="1" x14ac:dyDescent="0.3">
      <c r="B123" s="19" t="s">
        <v>33</v>
      </c>
      <c r="C123" s="60">
        <f>C9*$I134</f>
        <v>248.043054723974</v>
      </c>
      <c r="D123" s="60">
        <f t="shared" ref="D123:I123" si="33">D9*$I134</f>
        <v>255.18661049580962</v>
      </c>
      <c r="E123" s="60">
        <f t="shared" si="33"/>
        <v>261.4921610122139</v>
      </c>
      <c r="F123" s="60">
        <f t="shared" si="33"/>
        <v>267.47851118435136</v>
      </c>
      <c r="G123" s="60">
        <f t="shared" si="33"/>
        <v>272.4477396349771</v>
      </c>
      <c r="H123" s="60">
        <f t="shared" si="33"/>
        <v>277.83968700450004</v>
      </c>
      <c r="I123" s="60">
        <f t="shared" si="33"/>
        <v>283.7819158528896</v>
      </c>
      <c r="K123"/>
    </row>
    <row r="124" spans="2:11" s="2" customFormat="1" ht="14.4" customHeight="1" x14ac:dyDescent="0.3">
      <c r="B124" s="19" t="s">
        <v>23</v>
      </c>
      <c r="C124" s="60">
        <f>C10*$I135</f>
        <v>390.56838996457873</v>
      </c>
      <c r="D124" s="60">
        <f t="shared" ref="D124:I125" si="34">D10*$I135</f>
        <v>416.31830389702259</v>
      </c>
      <c r="E124" s="60">
        <f t="shared" si="34"/>
        <v>454.66714488843417</v>
      </c>
      <c r="F124" s="60">
        <f t="shared" si="34"/>
        <v>484.04280173699971</v>
      </c>
      <c r="G124" s="60">
        <f t="shared" si="34"/>
        <v>515.2225241254431</v>
      </c>
      <c r="H124" s="60">
        <f t="shared" si="34"/>
        <v>549.47473075970959</v>
      </c>
      <c r="I124" s="60">
        <f t="shared" si="34"/>
        <v>586.59541205305504</v>
      </c>
      <c r="K124"/>
    </row>
    <row r="125" spans="2:11" s="2" customFormat="1" ht="14.4" customHeight="1" x14ac:dyDescent="0.3">
      <c r="B125" s="19" t="s">
        <v>49</v>
      </c>
      <c r="C125" s="60">
        <f>C11*$I136</f>
        <v>653.94754747011814</v>
      </c>
      <c r="D125" s="60">
        <f t="shared" si="34"/>
        <v>675.06187764683102</v>
      </c>
      <c r="E125" s="60">
        <f t="shared" si="34"/>
        <v>692.3538514153513</v>
      </c>
      <c r="F125" s="60">
        <f t="shared" si="34"/>
        <v>714.42365044568282</v>
      </c>
      <c r="G125" s="60">
        <f t="shared" si="34"/>
        <v>736.71399188196358</v>
      </c>
      <c r="H125" s="60">
        <f t="shared" si="34"/>
        <v>760.45794913468876</v>
      </c>
      <c r="I125" s="60">
        <f t="shared" si="34"/>
        <v>785.33832806329929</v>
      </c>
      <c r="K125"/>
    </row>
    <row r="126" spans="2:11" s="2" customFormat="1" ht="14.4" customHeight="1" x14ac:dyDescent="0.3">
      <c r="B126" s="21" t="s">
        <v>30</v>
      </c>
      <c r="C126" s="61">
        <f>SUM(C123:C125)</f>
        <v>1292.5589921586709</v>
      </c>
      <c r="D126" s="61">
        <f t="shared" ref="D126:I126" si="35">SUM(D123:D125)</f>
        <v>1346.5667920396631</v>
      </c>
      <c r="E126" s="61">
        <f t="shared" si="35"/>
        <v>1408.5131573159993</v>
      </c>
      <c r="F126" s="61">
        <f t="shared" si="35"/>
        <v>1465.9449633670338</v>
      </c>
      <c r="G126" s="61">
        <f t="shared" si="35"/>
        <v>1524.3842556423838</v>
      </c>
      <c r="H126" s="61">
        <f t="shared" si="35"/>
        <v>1587.7723668988983</v>
      </c>
      <c r="I126" s="61">
        <f t="shared" si="35"/>
        <v>1655.7156559692439</v>
      </c>
      <c r="K126"/>
    </row>
    <row r="127" spans="2:11" s="2" customFormat="1" ht="14.4" customHeight="1" x14ac:dyDescent="0.3">
      <c r="B127" s="21"/>
      <c r="C127" s="43"/>
      <c r="D127" s="43"/>
      <c r="E127" s="43"/>
      <c r="F127" s="43"/>
      <c r="G127" s="43"/>
      <c r="H127" s="43"/>
      <c r="I127" s="43"/>
      <c r="K127"/>
    </row>
    <row r="128" spans="2:11" s="2" customFormat="1" ht="7.05" customHeight="1" x14ac:dyDescent="0.3">
      <c r="B128" s="51"/>
      <c r="C128" s="44"/>
      <c r="D128" s="44"/>
      <c r="E128" s="44"/>
      <c r="F128" s="44"/>
      <c r="G128" s="44"/>
      <c r="H128" s="44"/>
      <c r="I128" s="44"/>
      <c r="K128"/>
    </row>
    <row r="129" spans="2:11" s="2" customFormat="1" x14ac:dyDescent="0.3">
      <c r="B129" s="22" t="s">
        <v>28</v>
      </c>
      <c r="C129" s="44"/>
      <c r="D129" s="44"/>
      <c r="E129" s="44"/>
      <c r="F129" s="44"/>
      <c r="G129" s="44"/>
      <c r="H129" s="44"/>
      <c r="I129" s="44"/>
      <c r="K129"/>
    </row>
    <row r="130" spans="2:11" s="2" customFormat="1" x14ac:dyDescent="0.3">
      <c r="B130" s="15" t="s">
        <v>55</v>
      </c>
      <c r="C130" s="45">
        <v>0</v>
      </c>
      <c r="D130" s="45">
        <v>0</v>
      </c>
      <c r="E130" s="45">
        <f>(E116)*$D$117</f>
        <v>31.127107136791263</v>
      </c>
      <c r="F130" s="45">
        <f t="shared" ref="F130:I130" si="36">(F116)*$D$117</f>
        <v>54.472437489384703</v>
      </c>
      <c r="G130" s="45">
        <f t="shared" si="36"/>
        <v>46.690660705186893</v>
      </c>
      <c r="H130" s="45">
        <f t="shared" si="36"/>
        <v>38.908883920989076</v>
      </c>
      <c r="I130" s="45">
        <f t="shared" si="36"/>
        <v>31.127107136791263</v>
      </c>
      <c r="K130"/>
    </row>
    <row r="131" spans="2:11" s="2" customFormat="1" x14ac:dyDescent="0.3">
      <c r="B131" s="15" t="s">
        <v>54</v>
      </c>
      <c r="C131" s="45">
        <v>0</v>
      </c>
      <c r="D131" s="45">
        <v>0</v>
      </c>
      <c r="E131" s="45">
        <f>E126-((E123*(E118))+(E119*(E124))+(E120*(E125)))</f>
        <v>70.425657865800076</v>
      </c>
      <c r="F131" s="45">
        <f t="shared" ref="F131:I131" si="37">F126-((F123*(F118))+(F119*(F124))+(F120*(F125)))</f>
        <v>128.27018429461532</v>
      </c>
      <c r="G131" s="45">
        <f t="shared" si="37"/>
        <v>114.32881917317854</v>
      </c>
      <c r="H131" s="45">
        <f t="shared" si="37"/>
        <v>99.235772931181145</v>
      </c>
      <c r="I131" s="45">
        <f t="shared" si="37"/>
        <v>82.785782798462151</v>
      </c>
      <c r="K131"/>
    </row>
    <row r="132" spans="2:11" s="2" customFormat="1" x14ac:dyDescent="0.3">
      <c r="B132" s="23" t="s">
        <v>30</v>
      </c>
      <c r="C132" s="46">
        <f t="shared" ref="C132:I132" si="38">SUM(C130:C131)</f>
        <v>0</v>
      </c>
      <c r="D132" s="46">
        <f t="shared" si="38"/>
        <v>0</v>
      </c>
      <c r="E132" s="46">
        <f t="shared" si="38"/>
        <v>101.55276500259134</v>
      </c>
      <c r="F132" s="46">
        <f t="shared" si="38"/>
        <v>182.74262178400002</v>
      </c>
      <c r="G132" s="46">
        <f t="shared" si="38"/>
        <v>161.01947987836544</v>
      </c>
      <c r="H132" s="46">
        <f t="shared" si="38"/>
        <v>138.14465685217021</v>
      </c>
      <c r="I132" s="46">
        <f t="shared" si="38"/>
        <v>113.91288993525342</v>
      </c>
      <c r="K132"/>
    </row>
    <row r="133" spans="2:11" s="2" customFormat="1" ht="7.05" customHeight="1" x14ac:dyDescent="0.3">
      <c r="B133" s="52"/>
      <c r="C133" s="53"/>
      <c r="D133" s="54"/>
      <c r="E133" s="55"/>
      <c r="F133" s="55"/>
      <c r="G133" s="55"/>
      <c r="H133" s="55"/>
      <c r="I133" s="55"/>
      <c r="K133"/>
    </row>
    <row r="134" spans="2:11" s="2" customFormat="1" x14ac:dyDescent="0.3">
      <c r="B134" s="50" t="s">
        <v>56</v>
      </c>
      <c r="I134" s="64">
        <v>8.2983796867731996E-2</v>
      </c>
      <c r="K134"/>
    </row>
    <row r="135" spans="2:11" s="2" customFormat="1" x14ac:dyDescent="0.3">
      <c r="B135" s="50" t="s">
        <v>53</v>
      </c>
      <c r="I135" s="64">
        <v>0.161205452168176</v>
      </c>
      <c r="K135"/>
    </row>
    <row r="136" spans="2:11" s="2" customFormat="1" x14ac:dyDescent="0.3">
      <c r="I136" s="64">
        <v>0.32577211110771798</v>
      </c>
      <c r="K136"/>
    </row>
    <row r="137" spans="2:11" s="2" customFormat="1" ht="20.399999999999999" customHeight="1" x14ac:dyDescent="0.3">
      <c r="K137"/>
    </row>
  </sheetData>
  <mergeCells count="1">
    <mergeCell ref="A1:B1"/>
  </mergeCells>
  <hyperlinks>
    <hyperlink ref="A1" location="Contents!A1" display="Back to contents" xr:uid="{7606D74F-8FCF-4E5B-86B7-2D2B66B7414C}"/>
  </hyperlinks>
  <pageMargins left="0.7" right="0.7" top="0.75" bottom="0.75" header="0.3" footer="0.3"/>
  <pageSetup paperSize="9" scale="6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D36F8-69F4-44E5-802D-F4B858E8732E}">
  <sheetPr>
    <tabColor theme="2"/>
    <pageSetUpPr fitToPage="1"/>
  </sheetPr>
  <dimension ref="A1:AD122"/>
  <sheetViews>
    <sheetView zoomScaleNormal="100" workbookViewId="0">
      <selection sqref="A1:B1"/>
    </sheetView>
  </sheetViews>
  <sheetFormatPr defaultColWidth="0" defaultRowHeight="14.4" customHeight="1" zeroHeight="1" x14ac:dyDescent="0.3"/>
  <cols>
    <col min="1" max="1" width="9.5546875" style="2" customWidth="1"/>
    <col min="2" max="2" width="47.88671875" style="2" bestFit="1" customWidth="1"/>
    <col min="3" max="9" width="10.77734375" style="2" customWidth="1"/>
    <col min="10" max="10" width="9.5546875" style="2" bestFit="1" customWidth="1"/>
    <col min="11" max="12" width="0" hidden="1" customWidth="1"/>
    <col min="13" max="13" width="37.33203125" hidden="1" customWidth="1"/>
    <col min="14" max="15" width="11.21875" hidden="1" customWidth="1"/>
    <col min="16" max="16" width="22.5546875" hidden="1" customWidth="1"/>
    <col min="17" max="19" width="0" hidden="1" customWidth="1"/>
    <col min="20" max="20" width="13.33203125" hidden="1" customWidth="1"/>
    <col min="21" max="21" width="12" hidden="1" customWidth="1"/>
    <col min="22" max="22" width="12.6640625" hidden="1" customWidth="1"/>
    <col min="23" max="23" width="11.5546875" hidden="1" customWidth="1"/>
    <col min="24" max="24" width="15.44140625" hidden="1" customWidth="1"/>
    <col min="25" max="25" width="0" hidden="1" customWidth="1"/>
    <col min="26" max="26" width="13.109375" hidden="1" customWidth="1"/>
    <col min="27" max="30" width="0" hidden="1" customWidth="1"/>
    <col min="31" max="16384" width="8.88671875" hidden="1"/>
  </cols>
  <sheetData>
    <row r="1" spans="1:27" x14ac:dyDescent="0.3">
      <c r="A1" s="186" t="s">
        <v>9</v>
      </c>
      <c r="B1" s="186"/>
      <c r="C1" s="1"/>
      <c r="D1" s="1"/>
      <c r="E1" s="1"/>
      <c r="F1" s="1"/>
      <c r="G1" s="1"/>
      <c r="H1" s="1"/>
      <c r="I1" s="1"/>
      <c r="J1" s="1"/>
      <c r="K1" s="13"/>
    </row>
    <row r="2" spans="1:27" x14ac:dyDescent="0.3">
      <c r="A2" s="1"/>
      <c r="B2" s="1"/>
      <c r="C2" s="1"/>
      <c r="D2" s="1"/>
      <c r="K2" s="13"/>
    </row>
    <row r="3" spans="1:27" ht="15.6" x14ac:dyDescent="0.3">
      <c r="A3" s="49"/>
      <c r="B3" s="18"/>
      <c r="C3" s="1"/>
      <c r="K3" s="13"/>
    </row>
    <row r="4" spans="1:27" x14ac:dyDescent="0.3">
      <c r="K4" s="13"/>
    </row>
    <row r="5" spans="1:27" x14ac:dyDescent="0.3">
      <c r="K5" s="13"/>
    </row>
    <row r="6" spans="1:27" ht="30.6" customHeight="1" x14ac:dyDescent="0.3">
      <c r="K6" s="13"/>
    </row>
    <row r="7" spans="1:27" ht="7.05" customHeight="1" x14ac:dyDescent="0.3">
      <c r="K7" s="13"/>
    </row>
    <row r="8" spans="1:27" ht="14.4" customHeight="1" x14ac:dyDescent="0.3">
      <c r="K8" s="13"/>
      <c r="L8" s="1" t="s">
        <v>183</v>
      </c>
      <c r="N8" s="78"/>
      <c r="O8" s="78"/>
      <c r="P8" s="78"/>
      <c r="Q8" s="78"/>
      <c r="R8" s="78"/>
      <c r="S8" s="78"/>
      <c r="T8" s="187" t="s">
        <v>92</v>
      </c>
      <c r="U8" s="78"/>
      <c r="V8" s="78"/>
      <c r="W8" s="78"/>
      <c r="X8" s="78"/>
      <c r="Y8" s="78"/>
      <c r="Z8" s="78"/>
      <c r="AA8" s="1"/>
    </row>
    <row r="9" spans="1:27" ht="14.4" customHeight="1" x14ac:dyDescent="0.3">
      <c r="K9" s="13"/>
      <c r="L9" s="2"/>
      <c r="M9" s="79"/>
      <c r="N9" s="80"/>
      <c r="O9" s="80"/>
      <c r="P9" s="80"/>
      <c r="Q9" s="78"/>
      <c r="R9" s="78"/>
      <c r="S9" s="78"/>
      <c r="T9" s="187"/>
      <c r="U9" s="187" t="s">
        <v>93</v>
      </c>
      <c r="V9" s="78"/>
      <c r="W9" s="78"/>
      <c r="X9" s="78"/>
      <c r="Y9" s="78"/>
      <c r="Z9" s="78"/>
      <c r="AA9" s="1"/>
    </row>
    <row r="10" spans="1:27" ht="14.4" customHeight="1" x14ac:dyDescent="0.3">
      <c r="K10" s="13"/>
      <c r="L10" s="2"/>
      <c r="M10" s="1"/>
      <c r="N10" s="81" t="s">
        <v>92</v>
      </c>
      <c r="O10" s="81" t="s">
        <v>92</v>
      </c>
      <c r="P10" s="81" t="s">
        <v>92</v>
      </c>
      <c r="Q10" s="81" t="s">
        <v>92</v>
      </c>
      <c r="R10" s="81" t="s">
        <v>92</v>
      </c>
      <c r="S10" s="81" t="s">
        <v>92</v>
      </c>
      <c r="T10" s="188"/>
      <c r="U10" s="188"/>
      <c r="V10" s="81" t="s">
        <v>94</v>
      </c>
      <c r="W10" s="81" t="s">
        <v>94</v>
      </c>
      <c r="X10" s="81" t="s">
        <v>94</v>
      </c>
      <c r="Y10" s="81" t="s">
        <v>94</v>
      </c>
      <c r="Z10" s="81" t="s">
        <v>94</v>
      </c>
      <c r="AA10" s="1"/>
    </row>
    <row r="11" spans="1:27" ht="14.4" customHeight="1" x14ac:dyDescent="0.3">
      <c r="K11" s="13"/>
      <c r="L11" s="2"/>
      <c r="M11" s="82"/>
      <c r="N11" s="83" t="s">
        <v>95</v>
      </c>
      <c r="O11" s="83" t="s">
        <v>96</v>
      </c>
      <c r="P11" s="83" t="s">
        <v>97</v>
      </c>
      <c r="Q11" s="83" t="s">
        <v>98</v>
      </c>
      <c r="R11" s="83" t="s">
        <v>99</v>
      </c>
      <c r="S11" s="83" t="s">
        <v>100</v>
      </c>
      <c r="T11" s="83" t="s">
        <v>10</v>
      </c>
      <c r="U11" s="83" t="s">
        <v>11</v>
      </c>
      <c r="V11" s="83" t="s">
        <v>12</v>
      </c>
      <c r="W11" s="83" t="s">
        <v>13</v>
      </c>
      <c r="X11" s="83" t="s">
        <v>14</v>
      </c>
      <c r="Y11" s="83" t="s">
        <v>15</v>
      </c>
      <c r="Z11" s="83" t="s">
        <v>16</v>
      </c>
      <c r="AA11" s="83" t="s">
        <v>101</v>
      </c>
    </row>
    <row r="12" spans="1:27" ht="14.4" customHeight="1" x14ac:dyDescent="0.3">
      <c r="K12" s="13"/>
      <c r="L12" s="2"/>
      <c r="M12" s="84"/>
      <c r="N12" s="85"/>
      <c r="O12" s="85"/>
      <c r="P12" s="85"/>
      <c r="Q12" s="85"/>
      <c r="R12" s="85"/>
      <c r="S12" s="85"/>
      <c r="T12" s="85"/>
      <c r="U12" s="85"/>
      <c r="V12" s="85"/>
      <c r="W12" s="85"/>
      <c r="X12" s="85"/>
      <c r="Y12" s="85"/>
      <c r="Z12" s="85"/>
      <c r="AA12" s="86"/>
    </row>
    <row r="13" spans="1:27" ht="14.4" customHeight="1" x14ac:dyDescent="0.3">
      <c r="K13" s="13"/>
      <c r="L13" s="2"/>
      <c r="M13" s="87" t="s">
        <v>102</v>
      </c>
      <c r="N13" s="88">
        <f t="shared" ref="N13:Z13" si="0">N29</f>
        <v>953027.16999509046</v>
      </c>
      <c r="O13" s="88">
        <f t="shared" si="0"/>
        <v>1011626.2459599295</v>
      </c>
      <c r="P13" s="88">
        <f t="shared" si="0"/>
        <v>1074324.7831914925</v>
      </c>
      <c r="Q13" s="88">
        <f t="shared" si="0"/>
        <v>1134181.2243579652</v>
      </c>
      <c r="R13" s="88">
        <f t="shared" si="0"/>
        <v>1187035.9774848334</v>
      </c>
      <c r="S13" s="88">
        <f t="shared" si="0"/>
        <v>1267410.7401731694</v>
      </c>
      <c r="T13" s="88">
        <f t="shared" si="0"/>
        <v>1342792.392523794</v>
      </c>
      <c r="U13" s="88">
        <f t="shared" si="0"/>
        <v>1441007.2229212369</v>
      </c>
      <c r="V13" s="88">
        <f t="shared" si="0"/>
        <v>1490545.5309178713</v>
      </c>
      <c r="W13" s="88">
        <f t="shared" si="0"/>
        <v>1504293.6097647371</v>
      </c>
      <c r="X13" s="88">
        <f t="shared" si="0"/>
        <v>1522988.4815280698</v>
      </c>
      <c r="Y13" s="88">
        <f t="shared" si="0"/>
        <v>1539250.0195255741</v>
      </c>
      <c r="Z13" s="88">
        <f t="shared" si="0"/>
        <v>1552024.5877536284</v>
      </c>
      <c r="AA13" s="89"/>
    </row>
    <row r="14" spans="1:27" ht="14.4" customHeight="1" x14ac:dyDescent="0.3">
      <c r="K14" s="13"/>
      <c r="L14" s="2"/>
      <c r="M14" s="90"/>
      <c r="N14" s="77"/>
      <c r="O14" s="77"/>
      <c r="P14" s="77"/>
      <c r="Q14" s="77"/>
      <c r="R14" s="91"/>
      <c r="S14" s="91"/>
      <c r="T14" s="91"/>
      <c r="U14" s="91"/>
      <c r="V14" s="91"/>
      <c r="W14" s="91"/>
      <c r="X14" s="91"/>
      <c r="Y14" s="91"/>
      <c r="Z14" s="91"/>
      <c r="AA14" s="86"/>
    </row>
    <row r="15" spans="1:27" ht="14.4" customHeight="1" x14ac:dyDescent="0.3">
      <c r="K15" s="13"/>
      <c r="L15" s="2"/>
      <c r="M15" s="90"/>
      <c r="N15" s="77"/>
      <c r="O15" s="77"/>
      <c r="P15" s="77"/>
      <c r="Q15" s="77"/>
      <c r="R15" s="91"/>
      <c r="S15" s="91"/>
      <c r="T15" s="91"/>
      <c r="U15" s="91"/>
      <c r="V15" s="91"/>
      <c r="W15" s="91"/>
      <c r="X15" s="91"/>
      <c r="Y15" s="91"/>
      <c r="Z15" s="91"/>
      <c r="AA15" s="86"/>
    </row>
    <row r="16" spans="1:27" ht="14.4" customHeight="1" x14ac:dyDescent="0.3">
      <c r="K16" s="13"/>
      <c r="L16" s="2"/>
      <c r="M16" s="90" t="s">
        <v>103</v>
      </c>
      <c r="N16" s="91">
        <v>1160929.0477100001</v>
      </c>
      <c r="O16" s="91">
        <v>1173332.8046850001</v>
      </c>
      <c r="P16" s="91">
        <v>1183211.72887</v>
      </c>
      <c r="Q16" s="91">
        <v>1192504.3117879999</v>
      </c>
      <c r="R16" s="91">
        <v>1207018.0551849999</v>
      </c>
      <c r="S16" s="91">
        <v>1215499.6577999999</v>
      </c>
      <c r="T16" s="91">
        <v>1224141.3951950001</v>
      </c>
      <c r="U16" s="91">
        <v>1238219.3057550001</v>
      </c>
      <c r="V16" s="91">
        <v>1244634.4883855185</v>
      </c>
      <c r="W16" s="91">
        <f t="shared" ref="W16:Z17" si="1">V16+(V16*W19)</f>
        <v>1254591.5642926027</v>
      </c>
      <c r="X16" s="91">
        <f t="shared" si="1"/>
        <v>1264628.2968069436</v>
      </c>
      <c r="Y16" s="91">
        <f t="shared" si="1"/>
        <v>1274745.3231813991</v>
      </c>
      <c r="Z16" s="91">
        <f t="shared" si="1"/>
        <v>1284943.2857668502</v>
      </c>
      <c r="AA16" s="86"/>
    </row>
    <row r="17" spans="1:27" ht="14.4" customHeight="1" x14ac:dyDescent="0.3">
      <c r="K17" s="13"/>
      <c r="L17" s="2"/>
      <c r="M17" s="90" t="s">
        <v>104</v>
      </c>
      <c r="N17" s="92">
        <v>1027.01</v>
      </c>
      <c r="O17" s="92">
        <v>1070.531013</v>
      </c>
      <c r="P17" s="92">
        <v>1117.0971460000001</v>
      </c>
      <c r="Q17" s="92">
        <v>1157.8900000000001</v>
      </c>
      <c r="R17" s="92">
        <v>1193.2962</v>
      </c>
      <c r="S17" s="92">
        <v>1253.330197</v>
      </c>
      <c r="T17" s="92">
        <v>1330.4146000000001</v>
      </c>
      <c r="U17" s="92">
        <v>1392.1709000000001</v>
      </c>
      <c r="V17" s="93">
        <v>1441.221753</v>
      </c>
      <c r="W17" s="93">
        <f t="shared" si="1"/>
        <v>1441.221753</v>
      </c>
      <c r="X17" s="93">
        <f t="shared" si="1"/>
        <v>1441.221753</v>
      </c>
      <c r="Y17" s="93">
        <f t="shared" si="1"/>
        <v>1441.221753</v>
      </c>
      <c r="Z17" s="93">
        <f t="shared" si="1"/>
        <v>1441.221753</v>
      </c>
      <c r="AA17" s="86"/>
    </row>
    <row r="18" spans="1:27" ht="7.05" customHeight="1" x14ac:dyDescent="0.3">
      <c r="K18" s="13"/>
      <c r="L18" s="2"/>
      <c r="M18" s="90"/>
      <c r="N18" s="77"/>
      <c r="O18" s="77"/>
      <c r="P18" s="77"/>
      <c r="Q18" s="77"/>
      <c r="R18" s="77"/>
      <c r="S18" s="77"/>
      <c r="T18" s="77"/>
      <c r="U18" s="77"/>
      <c r="V18" s="77"/>
      <c r="W18" s="77"/>
      <c r="X18" s="77"/>
      <c r="Y18" s="77"/>
      <c r="Z18" s="77"/>
      <c r="AA18" s="94"/>
    </row>
    <row r="19" spans="1:27" ht="14.4" customHeight="1" x14ac:dyDescent="0.3">
      <c r="K19" s="13"/>
      <c r="L19" s="2"/>
      <c r="M19" s="90" t="s">
        <v>105</v>
      </c>
      <c r="N19" s="77"/>
      <c r="O19" s="95">
        <f t="shared" ref="O19:V20" si="2">(O16-N16)/N16</f>
        <v>1.0684336824431396E-2</v>
      </c>
      <c r="P19" s="95">
        <f t="shared" si="2"/>
        <v>8.419541451116291E-3</v>
      </c>
      <c r="Q19" s="95">
        <f t="shared" si="2"/>
        <v>7.8536940526059661E-3</v>
      </c>
      <c r="R19" s="95">
        <f t="shared" si="2"/>
        <v>1.2170809995008408E-2</v>
      </c>
      <c r="S19" s="95">
        <f t="shared" si="2"/>
        <v>7.0269061664533297E-3</v>
      </c>
      <c r="T19" s="95">
        <f t="shared" si="2"/>
        <v>7.109617299803553E-3</v>
      </c>
      <c r="U19" s="96">
        <f t="shared" si="2"/>
        <v>1.1500232420256848E-2</v>
      </c>
      <c r="V19" s="96">
        <f t="shared" si="2"/>
        <v>5.1809744854582245E-3</v>
      </c>
      <c r="W19" s="97">
        <v>8.0000000000000002E-3</v>
      </c>
      <c r="X19" s="97">
        <v>8.0000000000000002E-3</v>
      </c>
      <c r="Y19" s="97">
        <v>8.0000000000000002E-3</v>
      </c>
      <c r="Z19" s="97">
        <v>8.0000000000000002E-3</v>
      </c>
      <c r="AA19" s="86" t="s">
        <v>106</v>
      </c>
    </row>
    <row r="20" spans="1:27" ht="14.4" customHeight="1" x14ac:dyDescent="0.3">
      <c r="K20" s="13"/>
      <c r="L20" s="2"/>
      <c r="M20" s="98" t="s">
        <v>107</v>
      </c>
      <c r="N20" s="99"/>
      <c r="O20" s="100">
        <f t="shared" si="2"/>
        <v>4.2376425740742581E-2</v>
      </c>
      <c r="P20" s="100">
        <f t="shared" si="2"/>
        <v>4.3498163467030761E-2</v>
      </c>
      <c r="Q20" s="100">
        <f t="shared" si="2"/>
        <v>3.6516836647615993E-2</v>
      </c>
      <c r="R20" s="100">
        <f t="shared" si="2"/>
        <v>3.0578206910846364E-2</v>
      </c>
      <c r="S20" s="100">
        <f t="shared" si="2"/>
        <v>5.0309384208212515E-2</v>
      </c>
      <c r="T20" s="100">
        <f t="shared" si="2"/>
        <v>6.1503666938298514E-2</v>
      </c>
      <c r="U20" s="100">
        <f t="shared" si="2"/>
        <v>4.6418838157669048E-2</v>
      </c>
      <c r="V20" s="101">
        <v>3.5999999999999997E-2</v>
      </c>
      <c r="W20" s="102">
        <f>I3</f>
        <v>0</v>
      </c>
      <c r="X20" s="102">
        <f>W20</f>
        <v>0</v>
      </c>
      <c r="Y20" s="102">
        <f t="shared" ref="Y20:Z20" si="3">X20</f>
        <v>0</v>
      </c>
      <c r="Z20" s="102">
        <f t="shared" si="3"/>
        <v>0</v>
      </c>
      <c r="AA20" s="86" t="s">
        <v>108</v>
      </c>
    </row>
    <row r="21" spans="1:27" ht="14.4" customHeight="1" x14ac:dyDescent="0.3">
      <c r="K21" s="13"/>
      <c r="L21" s="2"/>
      <c r="M21" s="98"/>
      <c r="N21" s="99"/>
      <c r="O21" s="99"/>
      <c r="P21" s="99"/>
      <c r="Q21" s="99"/>
      <c r="R21" s="99"/>
      <c r="S21" s="99"/>
      <c r="T21" s="99"/>
      <c r="U21" s="99"/>
      <c r="V21" s="99"/>
      <c r="W21" s="99"/>
      <c r="X21" s="99"/>
      <c r="Y21" s="99"/>
      <c r="Z21" s="99"/>
      <c r="AA21" s="86"/>
    </row>
    <row r="22" spans="1:27" ht="14.4" customHeight="1" x14ac:dyDescent="0.3">
      <c r="K22" s="13"/>
      <c r="L22" s="2"/>
      <c r="M22" s="103" t="s">
        <v>109</v>
      </c>
      <c r="N22" s="104">
        <f t="shared" ref="N22:Z22" si="4">(N16*N17)/1000</f>
        <v>1192285.7412886473</v>
      </c>
      <c r="O22" s="104">
        <f t="shared" si="4"/>
        <v>1256089.1559855642</v>
      </c>
      <c r="P22" s="104">
        <f t="shared" si="4"/>
        <v>1321762.4454344029</v>
      </c>
      <c r="Q22" s="104">
        <f t="shared" si="4"/>
        <v>1380788.8175762075</v>
      </c>
      <c r="R22" s="104">
        <f t="shared" si="4"/>
        <v>1440330.0585836507</v>
      </c>
      <c r="S22" s="104">
        <f t="shared" si="4"/>
        <v>1523422.4255639063</v>
      </c>
      <c r="T22" s="104">
        <f t="shared" si="4"/>
        <v>1628615.5846317981</v>
      </c>
      <c r="U22" s="104">
        <f t="shared" si="4"/>
        <v>1723812.8852903137</v>
      </c>
      <c r="V22" s="104">
        <f t="shared" si="4"/>
        <v>1793794.2991952354</v>
      </c>
      <c r="W22" s="104">
        <f t="shared" si="4"/>
        <v>1808144.6535887972</v>
      </c>
      <c r="X22" s="104">
        <f t="shared" si="4"/>
        <v>1822609.8108175076</v>
      </c>
      <c r="Y22" s="104">
        <f t="shared" si="4"/>
        <v>1837190.6893040475</v>
      </c>
      <c r="Z22" s="104">
        <f t="shared" si="4"/>
        <v>1851888.2148184797</v>
      </c>
      <c r="AA22" s="89"/>
    </row>
    <row r="23" spans="1:27" ht="14.4" customHeight="1" x14ac:dyDescent="0.3">
      <c r="K23" s="13"/>
      <c r="L23" s="2"/>
      <c r="M23" s="98"/>
      <c r="N23" s="99"/>
      <c r="O23" s="99"/>
      <c r="P23" s="99"/>
      <c r="Q23" s="99"/>
      <c r="R23" s="105"/>
      <c r="S23" s="105"/>
      <c r="T23" s="105"/>
      <c r="U23" s="105"/>
      <c r="V23" s="105"/>
      <c r="W23" s="105"/>
      <c r="X23" s="105"/>
      <c r="Y23" s="105"/>
      <c r="Z23" s="105"/>
      <c r="AA23" s="86"/>
    </row>
    <row r="24" spans="1:27" ht="14.4" customHeight="1" x14ac:dyDescent="0.3">
      <c r="K24" s="13"/>
      <c r="L24" s="2"/>
      <c r="M24" s="98" t="s">
        <v>110</v>
      </c>
      <c r="N24" s="106">
        <v>-244000</v>
      </c>
      <c r="O24" s="106">
        <v>-246885</v>
      </c>
      <c r="P24" s="106">
        <v>-247366</v>
      </c>
      <c r="Q24" s="106">
        <v>-246721</v>
      </c>
      <c r="R24" s="106">
        <v>-247413</v>
      </c>
      <c r="S24" s="106">
        <v>-252096</v>
      </c>
      <c r="T24" s="106">
        <v>-259816</v>
      </c>
      <c r="U24" s="105">
        <f>U48*-1000</f>
        <v>-282805.66236907674</v>
      </c>
      <c r="V24" s="105">
        <f t="shared" ref="V24:Z24" si="5">V48*-1000</f>
        <v>-303248.7682773642</v>
      </c>
      <c r="W24" s="105">
        <f t="shared" si="5"/>
        <v>-303851.04382406001</v>
      </c>
      <c r="X24" s="105">
        <f t="shared" si="5"/>
        <v>-299621.3292894378</v>
      </c>
      <c r="Y24" s="105">
        <f t="shared" si="5"/>
        <v>-297940.66977847356</v>
      </c>
      <c r="Z24" s="105">
        <f t="shared" si="5"/>
        <v>-299863.62706485135</v>
      </c>
      <c r="AA24" s="107"/>
    </row>
    <row r="25" spans="1:27" ht="14.4" customHeight="1" x14ac:dyDescent="0.3">
      <c r="K25" s="13"/>
      <c r="L25" s="2"/>
      <c r="M25" s="98" t="s">
        <v>111</v>
      </c>
      <c r="N25" s="100">
        <f t="shared" ref="N25:Z25" si="6">N24/N22</f>
        <v>-0.20464892898599937</v>
      </c>
      <c r="O25" s="100">
        <f t="shared" si="6"/>
        <v>-0.1965505384896718</v>
      </c>
      <c r="P25" s="100">
        <f t="shared" si="6"/>
        <v>-0.18714860666108735</v>
      </c>
      <c r="Q25" s="100">
        <f t="shared" si="6"/>
        <v>-0.17868119792068288</v>
      </c>
      <c r="R25" s="100">
        <f t="shared" si="6"/>
        <v>-0.17177521119242189</v>
      </c>
      <c r="S25" s="100">
        <f t="shared" si="6"/>
        <v>-0.16548003742736342</v>
      </c>
      <c r="T25" s="100">
        <f t="shared" si="6"/>
        <v>-0.15953181490568868</v>
      </c>
      <c r="U25" s="100">
        <f t="shared" si="6"/>
        <v>-0.16405821350003913</v>
      </c>
      <c r="V25" s="100">
        <f t="shared" si="6"/>
        <v>-0.16905437173783705</v>
      </c>
      <c r="W25" s="100">
        <f t="shared" si="6"/>
        <v>-0.16804576073102218</v>
      </c>
      <c r="X25" s="100">
        <f t="shared" si="6"/>
        <v>-0.16439137302517132</v>
      </c>
      <c r="Y25" s="100">
        <f t="shared" si="6"/>
        <v>-0.16217188096644311</v>
      </c>
      <c r="Z25" s="100">
        <f t="shared" si="6"/>
        <v>-0.16192317909115464</v>
      </c>
      <c r="AA25" s="107" t="s">
        <v>112</v>
      </c>
    </row>
    <row r="26" spans="1:27" ht="14.4" customHeight="1" x14ac:dyDescent="0.3">
      <c r="K26" s="13"/>
      <c r="L26" s="2"/>
      <c r="M26" s="98"/>
      <c r="N26" s="106"/>
      <c r="O26" s="106"/>
      <c r="P26" s="106"/>
      <c r="Q26" s="106"/>
      <c r="R26" s="106"/>
      <c r="S26" s="106"/>
      <c r="T26" s="106"/>
      <c r="U26" s="108"/>
      <c r="V26" s="108"/>
      <c r="W26" s="108"/>
      <c r="X26" s="108"/>
      <c r="Y26" s="108"/>
      <c r="Z26" s="108"/>
      <c r="AA26" s="107"/>
    </row>
    <row r="27" spans="1:27" ht="14.4" customHeight="1" x14ac:dyDescent="0.3">
      <c r="K27" s="13"/>
      <c r="L27" s="2"/>
      <c r="M27" s="98" t="s">
        <v>113</v>
      </c>
      <c r="N27" s="100">
        <v>1.0049999999999999</v>
      </c>
      <c r="O27" s="100">
        <v>1.0024</v>
      </c>
      <c r="P27" s="100">
        <v>0.99993330000000002</v>
      </c>
      <c r="Q27" s="100">
        <v>1.0001</v>
      </c>
      <c r="R27" s="100">
        <v>0.99507000000000001</v>
      </c>
      <c r="S27" s="100">
        <v>0.99691999999999992</v>
      </c>
      <c r="T27" s="100">
        <v>0.98099999999999998</v>
      </c>
      <c r="U27" s="102">
        <v>1</v>
      </c>
      <c r="V27" s="102">
        <v>1</v>
      </c>
      <c r="W27" s="102">
        <v>1</v>
      </c>
      <c r="X27" s="102">
        <v>1</v>
      </c>
      <c r="Y27" s="102">
        <v>1</v>
      </c>
      <c r="Z27" s="102">
        <v>1</v>
      </c>
      <c r="AA27" s="107"/>
    </row>
    <row r="28" spans="1:27" ht="7.05" customHeight="1" x14ac:dyDescent="0.3">
      <c r="K28" s="13"/>
      <c r="L28" s="2"/>
      <c r="M28" s="98"/>
      <c r="N28" s="99"/>
      <c r="O28" s="99"/>
      <c r="P28" s="99"/>
      <c r="Q28" s="99"/>
      <c r="R28" s="99"/>
      <c r="S28" s="99"/>
      <c r="T28" s="99"/>
      <c r="U28" s="99"/>
      <c r="V28" s="99"/>
      <c r="W28" s="99"/>
      <c r="X28" s="99"/>
      <c r="Y28" s="99"/>
      <c r="Z28" s="99"/>
      <c r="AA28" s="107"/>
    </row>
    <row r="29" spans="1:27" x14ac:dyDescent="0.3">
      <c r="K29" s="13"/>
      <c r="L29" s="2"/>
      <c r="M29" s="90" t="s">
        <v>114</v>
      </c>
      <c r="N29" s="106">
        <f>(N22+N24)*N27</f>
        <v>953027.16999509046</v>
      </c>
      <c r="O29" s="106">
        <f t="shared" ref="O29:Z29" si="7">(O22+O24)*O27</f>
        <v>1011626.2459599295</v>
      </c>
      <c r="P29" s="106">
        <f t="shared" si="7"/>
        <v>1074324.7831914925</v>
      </c>
      <c r="Q29" s="106">
        <f t="shared" si="7"/>
        <v>1134181.2243579652</v>
      </c>
      <c r="R29" s="106">
        <f t="shared" si="7"/>
        <v>1187035.9774848334</v>
      </c>
      <c r="S29" s="106">
        <f t="shared" si="7"/>
        <v>1267410.7401731694</v>
      </c>
      <c r="T29" s="106">
        <f t="shared" si="7"/>
        <v>1342792.392523794</v>
      </c>
      <c r="U29" s="106">
        <f t="shared" si="7"/>
        <v>1441007.2229212369</v>
      </c>
      <c r="V29" s="106">
        <f t="shared" si="7"/>
        <v>1490545.5309178713</v>
      </c>
      <c r="W29" s="106">
        <f t="shared" si="7"/>
        <v>1504293.6097647371</v>
      </c>
      <c r="X29" s="106">
        <f t="shared" si="7"/>
        <v>1522988.4815280698</v>
      </c>
      <c r="Y29" s="106">
        <f t="shared" si="7"/>
        <v>1539250.0195255741</v>
      </c>
      <c r="Z29" s="106">
        <f t="shared" si="7"/>
        <v>1552024.5877536284</v>
      </c>
      <c r="AA29" s="86"/>
    </row>
    <row r="30" spans="1:27" x14ac:dyDescent="0.3">
      <c r="K30" s="13"/>
      <c r="L30" s="2"/>
      <c r="M30" s="109" t="s">
        <v>115</v>
      </c>
      <c r="N30" s="110">
        <f>N29-N24</f>
        <v>1197027.1699950905</v>
      </c>
      <c r="O30" s="110">
        <f t="shared" ref="O30:Z30" si="8">O29-O24</f>
        <v>1258511.2459599297</v>
      </c>
      <c r="P30" s="110">
        <f t="shared" si="8"/>
        <v>1321690.7831914925</v>
      </c>
      <c r="Q30" s="110">
        <f t="shared" si="8"/>
        <v>1380902.2243579652</v>
      </c>
      <c r="R30" s="110">
        <f t="shared" si="8"/>
        <v>1434448.9774848334</v>
      </c>
      <c r="S30" s="110">
        <f t="shared" si="8"/>
        <v>1519506.7401731694</v>
      </c>
      <c r="T30" s="110">
        <f t="shared" si="8"/>
        <v>1602608.392523794</v>
      </c>
      <c r="U30" s="110">
        <f t="shared" si="8"/>
        <v>1723812.8852903135</v>
      </c>
      <c r="V30" s="110">
        <f t="shared" si="8"/>
        <v>1793794.2991952356</v>
      </c>
      <c r="W30" s="110">
        <f t="shared" si="8"/>
        <v>1808144.653588797</v>
      </c>
      <c r="X30" s="110">
        <f t="shared" si="8"/>
        <v>1822609.8108175076</v>
      </c>
      <c r="Y30" s="110">
        <f t="shared" si="8"/>
        <v>1837190.6893040477</v>
      </c>
      <c r="Z30" s="110">
        <f t="shared" si="8"/>
        <v>1851888.2148184797</v>
      </c>
      <c r="AA30" s="89"/>
    </row>
    <row r="31" spans="1:27" ht="15.6" x14ac:dyDescent="0.3">
      <c r="A31" s="18"/>
      <c r="B31" s="18"/>
      <c r="C31" s="1"/>
      <c r="D31" s="1"/>
      <c r="E31" s="1"/>
      <c r="F31" s="1"/>
      <c r="G31" s="1"/>
      <c r="H31" s="1"/>
      <c r="I31" s="1"/>
      <c r="J31" s="1"/>
      <c r="K31" s="13"/>
      <c r="L31" s="2"/>
      <c r="M31" s="1"/>
      <c r="N31" s="111"/>
      <c r="O31" s="111"/>
      <c r="P31" s="111"/>
      <c r="Q31" s="111"/>
      <c r="R31" s="111"/>
      <c r="S31" s="111"/>
      <c r="T31" s="111"/>
      <c r="U31" s="111"/>
      <c r="V31" s="111"/>
      <c r="W31" s="112"/>
      <c r="X31" s="112"/>
      <c r="Y31" s="112"/>
      <c r="Z31" s="112"/>
      <c r="AA31" s="1"/>
    </row>
    <row r="32" spans="1:27" ht="15.6" hidden="1" x14ac:dyDescent="0.3">
      <c r="A32" s="18"/>
      <c r="B32" s="18"/>
      <c r="C32" s="1"/>
      <c r="D32" s="1"/>
      <c r="E32" s="1"/>
      <c r="F32" s="1"/>
      <c r="G32" s="1"/>
      <c r="H32" s="1"/>
      <c r="I32" s="1"/>
      <c r="J32" s="1"/>
      <c r="K32" s="13"/>
      <c r="L32" s="2"/>
      <c r="M32" s="1"/>
      <c r="N32" s="113"/>
      <c r="O32" s="113"/>
      <c r="P32" s="113"/>
      <c r="Q32" s="113"/>
      <c r="R32" s="113"/>
      <c r="S32" s="113"/>
      <c r="T32" s="113"/>
      <c r="U32" s="114"/>
      <c r="V32" s="112"/>
      <c r="W32" s="112"/>
      <c r="X32" s="112"/>
      <c r="Y32" s="112"/>
      <c r="Z32" s="112"/>
      <c r="AA32" s="1"/>
    </row>
    <row r="33" spans="11:27" s="2" customFormat="1" ht="20.399999999999999" hidden="1" customHeight="1" x14ac:dyDescent="0.3">
      <c r="K33"/>
      <c r="M33" s="1"/>
      <c r="N33" s="113"/>
      <c r="O33" s="113"/>
      <c r="P33" s="113"/>
      <c r="Q33" s="113"/>
      <c r="R33" s="113"/>
      <c r="S33" s="113"/>
      <c r="T33" s="113"/>
      <c r="U33" s="115"/>
      <c r="V33" s="116"/>
      <c r="W33" s="112"/>
      <c r="X33" s="112"/>
      <c r="Y33" s="112"/>
      <c r="Z33" s="112"/>
      <c r="AA33" s="1"/>
    </row>
    <row r="34" spans="11:27" hidden="1" x14ac:dyDescent="0.3">
      <c r="L34" s="2"/>
      <c r="M34" s="117" t="s">
        <v>116</v>
      </c>
      <c r="N34" s="118"/>
      <c r="O34" s="118"/>
      <c r="P34" s="118"/>
      <c r="Q34" s="118"/>
      <c r="R34" s="119"/>
      <c r="S34" s="119"/>
      <c r="T34" s="119"/>
      <c r="U34" s="120"/>
      <c r="V34" s="120"/>
      <c r="W34" s="120"/>
      <c r="X34" s="121"/>
      <c r="Y34" s="1"/>
      <c r="Z34" s="1"/>
      <c r="AA34" s="1"/>
    </row>
    <row r="35" spans="11:27" hidden="1" x14ac:dyDescent="0.3">
      <c r="L35" s="2"/>
      <c r="M35" s="122"/>
      <c r="N35" s="123"/>
      <c r="O35" s="123"/>
      <c r="P35" s="123"/>
      <c r="Q35" s="123"/>
      <c r="R35" s="124"/>
      <c r="S35" s="124"/>
      <c r="T35" s="124"/>
      <c r="U35" s="125"/>
      <c r="V35" s="125"/>
      <c r="W35" s="125"/>
      <c r="X35" s="126"/>
      <c r="Y35" s="1"/>
      <c r="Z35" s="127"/>
      <c r="AA35" s="127"/>
    </row>
    <row r="36" spans="11:27" hidden="1" x14ac:dyDescent="0.3">
      <c r="L36" s="128"/>
      <c r="M36" s="189" t="s">
        <v>117</v>
      </c>
      <c r="N36" s="190"/>
      <c r="O36" s="190"/>
      <c r="P36" s="190"/>
      <c r="Q36" s="190"/>
      <c r="R36" s="190"/>
      <c r="S36" s="190"/>
      <c r="T36" s="190"/>
      <c r="U36" s="190"/>
      <c r="V36" s="190"/>
      <c r="W36" s="190"/>
      <c r="X36" s="191"/>
      <c r="Y36" s="129"/>
      <c r="Z36" s="130"/>
      <c r="AA36" s="130"/>
    </row>
    <row r="37" spans="11:27" hidden="1" x14ac:dyDescent="0.3">
      <c r="L37" s="128"/>
      <c r="M37" s="189" t="s">
        <v>118</v>
      </c>
      <c r="N37" s="190"/>
      <c r="O37" s="190"/>
      <c r="P37" s="190"/>
      <c r="Q37" s="190"/>
      <c r="R37" s="190"/>
      <c r="S37" s="190"/>
      <c r="T37" s="190"/>
      <c r="U37" s="190"/>
      <c r="V37" s="190"/>
      <c r="W37" s="190"/>
      <c r="X37" s="191"/>
      <c r="Y37" s="129"/>
      <c r="Z37" s="131"/>
      <c r="AA37" s="131"/>
    </row>
    <row r="38" spans="11:27" hidden="1" x14ac:dyDescent="0.3">
      <c r="L38" s="128"/>
      <c r="M38" s="189" t="s">
        <v>119</v>
      </c>
      <c r="N38" s="190"/>
      <c r="O38" s="190"/>
      <c r="P38" s="190"/>
      <c r="Q38" s="190"/>
      <c r="R38" s="190"/>
      <c r="S38" s="190"/>
      <c r="T38" s="190"/>
      <c r="U38" s="190"/>
      <c r="V38" s="190"/>
      <c r="W38" s="190"/>
      <c r="X38" s="191"/>
      <c r="Y38" s="129"/>
      <c r="Z38" s="130"/>
      <c r="AA38" s="131"/>
    </row>
    <row r="39" spans="11:27" hidden="1" x14ac:dyDescent="0.3">
      <c r="L39" s="128"/>
      <c r="M39" s="189" t="s">
        <v>120</v>
      </c>
      <c r="N39" s="190"/>
      <c r="O39" s="190"/>
      <c r="P39" s="190"/>
      <c r="Q39" s="190"/>
      <c r="R39" s="190"/>
      <c r="S39" s="190"/>
      <c r="T39" s="190"/>
      <c r="U39" s="190"/>
      <c r="V39" s="190"/>
      <c r="W39" s="190"/>
      <c r="X39" s="191"/>
      <c r="Y39" s="132"/>
      <c r="Z39" s="133"/>
      <c r="AA39" s="131"/>
    </row>
    <row r="40" spans="11:27" hidden="1" x14ac:dyDescent="0.3">
      <c r="L40" s="128"/>
      <c r="M40" s="181" t="s">
        <v>121</v>
      </c>
      <c r="N40" s="182"/>
      <c r="O40" s="182"/>
      <c r="P40" s="182"/>
      <c r="Q40" s="182"/>
      <c r="R40" s="182"/>
      <c r="S40" s="182"/>
      <c r="T40" s="182"/>
      <c r="U40" s="182"/>
      <c r="V40" s="182"/>
      <c r="W40" s="182"/>
      <c r="X40" s="183"/>
      <c r="Y40" s="129"/>
      <c r="Z40" s="134"/>
      <c r="AA40" s="131"/>
    </row>
    <row r="41" spans="11:27" hidden="1" x14ac:dyDescent="0.3">
      <c r="L41" s="2"/>
      <c r="M41" s="1"/>
      <c r="N41" s="1"/>
      <c r="O41" s="1"/>
      <c r="P41" s="1"/>
      <c r="Q41" s="1"/>
      <c r="R41" s="127"/>
      <c r="S41" s="1"/>
      <c r="T41" s="1"/>
      <c r="U41" s="1"/>
      <c r="V41" s="1"/>
      <c r="W41" s="1"/>
      <c r="X41" s="1"/>
      <c r="Y41" s="1"/>
      <c r="Z41" s="1"/>
      <c r="AA41" s="1"/>
    </row>
    <row r="42" spans="11:27" hidden="1" x14ac:dyDescent="0.3">
      <c r="T42" s="135"/>
    </row>
    <row r="43" spans="11:27" hidden="1" x14ac:dyDescent="0.3">
      <c r="P43" s="136" t="s">
        <v>122</v>
      </c>
      <c r="Q43" s="137"/>
      <c r="R43" s="138"/>
      <c r="S43" s="137"/>
      <c r="T43" s="137"/>
      <c r="U43" s="137"/>
      <c r="V43" s="137"/>
      <c r="W43" s="137"/>
      <c r="X43" s="137"/>
      <c r="Y43" s="137"/>
      <c r="Z43" s="137"/>
      <c r="AA43" s="139"/>
    </row>
    <row r="44" spans="11:27" hidden="1" x14ac:dyDescent="0.3">
      <c r="P44" s="140"/>
      <c r="S44" s="141"/>
      <c r="W44" s="142">
        <f>(W46-V46)/V46</f>
        <v>-1.1273559422400926E-3</v>
      </c>
      <c r="X44" s="142">
        <f t="shared" ref="X44:Z44" si="9">(X46-W46)/W46</f>
        <v>-2.5372313743517082E-2</v>
      </c>
      <c r="Y44" s="142">
        <f t="shared" si="9"/>
        <v>-1.2962693286828798E-2</v>
      </c>
      <c r="Z44" s="142">
        <f t="shared" si="9"/>
        <v>5.6011697939983458E-3</v>
      </c>
      <c r="AA44" s="143"/>
    </row>
    <row r="45" spans="11:27" hidden="1" x14ac:dyDescent="0.3">
      <c r="P45" s="140"/>
      <c r="S45" s="141"/>
      <c r="T45" s="144" t="s">
        <v>10</v>
      </c>
      <c r="U45" s="144" t="s">
        <v>11</v>
      </c>
      <c r="V45" s="144" t="s">
        <v>12</v>
      </c>
      <c r="W45" s="144" t="s">
        <v>13</v>
      </c>
      <c r="X45" s="144" t="s">
        <v>14</v>
      </c>
      <c r="Y45" s="144" t="s">
        <v>15</v>
      </c>
      <c r="Z45" s="144" t="s">
        <v>16</v>
      </c>
      <c r="AA45" s="143"/>
    </row>
    <row r="46" spans="11:27" hidden="1" x14ac:dyDescent="0.3">
      <c r="P46" s="184" t="s">
        <v>123</v>
      </c>
      <c r="Q46" s="185"/>
      <c r="R46" s="185"/>
      <c r="S46" s="185"/>
      <c r="T46" s="145">
        <v>165.9</v>
      </c>
      <c r="U46" s="145">
        <f>((U22*$T$52)/1000)+U53</f>
        <v>183.4</v>
      </c>
      <c r="V46" s="145">
        <f t="shared" ref="V46:Z46" si="10">((V22*$T$52)/1000)+V53</f>
        <v>199.80754679273315</v>
      </c>
      <c r="W46" s="145">
        <f t="shared" si="10"/>
        <v>199.58229256755195</v>
      </c>
      <c r="X46" s="145">
        <f t="shared" si="10"/>
        <v>194.5184280228776</v>
      </c>
      <c r="Y46" s="145">
        <f t="shared" si="10"/>
        <v>191.99694530178095</v>
      </c>
      <c r="Z46" s="145">
        <f t="shared" si="10"/>
        <v>193.07235279234524</v>
      </c>
      <c r="AA46" s="146" t="s">
        <v>124</v>
      </c>
    </row>
    <row r="47" spans="11:27" ht="15" hidden="1" thickBot="1" x14ac:dyDescent="0.35">
      <c r="P47" s="184" t="s">
        <v>125</v>
      </c>
      <c r="Q47" s="185"/>
      <c r="R47" s="185"/>
      <c r="S47" s="185"/>
      <c r="T47" s="147">
        <f>((T24/1000)-(T46*-1))*-1</f>
        <v>93.915999999999968</v>
      </c>
      <c r="U47" s="147">
        <f>(U22*$T$51)/1000</f>
        <v>99.405662369076751</v>
      </c>
      <c r="V47" s="147">
        <f t="shared" ref="V47:Z47" si="11">(V22*$T$51)/1000</f>
        <v>103.44122148463103</v>
      </c>
      <c r="W47" s="147">
        <f t="shared" si="11"/>
        <v>104.26875125650807</v>
      </c>
      <c r="X47" s="147">
        <f t="shared" si="11"/>
        <v>105.10290126656014</v>
      </c>
      <c r="Y47" s="147">
        <f t="shared" si="11"/>
        <v>105.94372447669261</v>
      </c>
      <c r="Z47" s="147">
        <f t="shared" si="11"/>
        <v>106.79127427250614</v>
      </c>
      <c r="AA47" s="146" t="s">
        <v>126</v>
      </c>
    </row>
    <row r="48" spans="11:27" hidden="1" x14ac:dyDescent="0.3">
      <c r="P48" s="140"/>
      <c r="S48" s="148" t="s">
        <v>30</v>
      </c>
      <c r="T48" s="149">
        <f>SUM(T46:T47)</f>
        <v>259.81599999999997</v>
      </c>
      <c r="U48" s="149">
        <f>SUM(U46:U47)</f>
        <v>282.80566236907674</v>
      </c>
      <c r="V48" s="149">
        <f t="shared" ref="V48:Z48" si="12">SUM(V46:V47)</f>
        <v>303.24876827736421</v>
      </c>
      <c r="W48" s="149">
        <f t="shared" si="12"/>
        <v>303.85104382406001</v>
      </c>
      <c r="X48" s="149">
        <f t="shared" si="12"/>
        <v>299.62132928943777</v>
      </c>
      <c r="Y48" s="149">
        <f t="shared" si="12"/>
        <v>297.94066977847353</v>
      </c>
      <c r="Z48" s="149">
        <f t="shared" si="12"/>
        <v>299.86362706485136</v>
      </c>
      <c r="AA48" s="143"/>
    </row>
    <row r="49" spans="16:27" hidden="1" x14ac:dyDescent="0.3">
      <c r="P49" s="140"/>
      <c r="S49" s="150" t="s">
        <v>127</v>
      </c>
      <c r="T49" s="151">
        <f>AVERAGE(Q76:Q79)/100</f>
        <v>3.875E-2</v>
      </c>
      <c r="U49" s="151">
        <f>AVERAGE(Q80:Q81,W82:W83)/100</f>
        <v>4.8000000000000001E-2</v>
      </c>
      <c r="V49" s="151">
        <f>AVERAGE(W84:W87)/100</f>
        <v>5.9000000000000004E-2</v>
      </c>
      <c r="W49" s="151">
        <f>AVERAGE(W88:W91)/100</f>
        <v>5.6999999999999995E-2</v>
      </c>
      <c r="X49" s="151">
        <f>AVERAGE(W92:W95)/100</f>
        <v>4.9249999999999995E-2</v>
      </c>
      <c r="Y49" s="151">
        <f>AVERAGE(W96:W99)/100</f>
        <v>4.4500000000000005E-2</v>
      </c>
      <c r="Z49" s="151">
        <f>AVERAGE(W100:W103)/100</f>
        <v>4.4000000000000004E-2</v>
      </c>
      <c r="AA49" s="143"/>
    </row>
    <row r="50" spans="16:27" hidden="1" x14ac:dyDescent="0.3">
      <c r="P50" s="140"/>
      <c r="AA50" s="143"/>
    </row>
    <row r="51" spans="16:27" hidden="1" x14ac:dyDescent="0.3">
      <c r="P51" s="152"/>
      <c r="S51" s="153" t="s">
        <v>128</v>
      </c>
      <c r="T51" s="154">
        <f>(T47*1000)/T22</f>
        <v>5.7666155774404405E-2</v>
      </c>
      <c r="U51" s="155">
        <f>(U22*$T$52)/1000</f>
        <v>175.59733577909873</v>
      </c>
      <c r="V51" s="155"/>
      <c r="W51" s="156"/>
      <c r="X51" s="156"/>
      <c r="Y51" s="157"/>
      <c r="Z51" s="142"/>
      <c r="AA51" s="143"/>
    </row>
    <row r="52" spans="16:27" hidden="1" x14ac:dyDescent="0.3">
      <c r="P52" s="140"/>
      <c r="S52" s="153" t="s">
        <v>129</v>
      </c>
      <c r="T52" s="154">
        <f>(T46*1000)/T22</f>
        <v>0.10186565913128427</v>
      </c>
      <c r="U52">
        <v>183.4</v>
      </c>
      <c r="W52" s="145"/>
      <c r="AA52" s="143"/>
    </row>
    <row r="53" spans="16:27" hidden="1" x14ac:dyDescent="0.3">
      <c r="T53">
        <v>0</v>
      </c>
      <c r="U53" s="158">
        <f>U52-U51</f>
        <v>7.8026642209012778</v>
      </c>
      <c r="V53" s="158">
        <f>FORECAST(V49,$T$53:$U$53,$T$49:$U$49)</f>
        <v>17.081508159270371</v>
      </c>
      <c r="W53" s="158">
        <f t="shared" ref="W53:Z53" si="13">FORECAST(W49,$T$53:$U$53,$T$49:$U$49)</f>
        <v>15.39444562502144</v>
      </c>
      <c r="X53" s="158">
        <f t="shared" si="13"/>
        <v>8.8570783048068549</v>
      </c>
      <c r="Y53" s="158">
        <f t="shared" si="13"/>
        <v>4.8503047859656689</v>
      </c>
      <c r="Z53" s="158">
        <f t="shared" si="13"/>
        <v>4.4285391524034381</v>
      </c>
      <c r="AA53" s="143"/>
    </row>
    <row r="54" spans="16:27" hidden="1" x14ac:dyDescent="0.3">
      <c r="P54" s="159" t="s">
        <v>130</v>
      </c>
      <c r="Q54" s="160"/>
      <c r="R54" s="160"/>
      <c r="S54" s="160"/>
      <c r="T54" s="160"/>
      <c r="U54" s="160"/>
      <c r="V54" s="160"/>
      <c r="W54" s="160"/>
      <c r="X54" s="160"/>
      <c r="Y54" s="160"/>
      <c r="Z54" s="160"/>
      <c r="AA54" s="161"/>
    </row>
    <row r="55" spans="16:27" hidden="1" x14ac:dyDescent="0.3">
      <c r="S55" s="162"/>
    </row>
    <row r="57" spans="16:27" hidden="1" x14ac:dyDescent="0.3">
      <c r="P57" s="163" t="s">
        <v>131</v>
      </c>
    </row>
    <row r="58" spans="16:27" hidden="1" x14ac:dyDescent="0.3">
      <c r="Q58" t="s">
        <v>92</v>
      </c>
      <c r="R58" t="s">
        <v>132</v>
      </c>
      <c r="S58" t="s">
        <v>133</v>
      </c>
      <c r="T58" t="s">
        <v>134</v>
      </c>
      <c r="U58" t="s">
        <v>135</v>
      </c>
      <c r="V58" t="s">
        <v>136</v>
      </c>
      <c r="W58" t="s">
        <v>137</v>
      </c>
    </row>
    <row r="59" spans="16:27" hidden="1" x14ac:dyDescent="0.3">
      <c r="P59" t="s">
        <v>138</v>
      </c>
      <c r="Q59">
        <v>5.5</v>
      </c>
      <c r="S59">
        <v>5.5</v>
      </c>
      <c r="T59">
        <v>5.5</v>
      </c>
    </row>
    <row r="60" spans="16:27" hidden="1" x14ac:dyDescent="0.3">
      <c r="P60" t="s">
        <v>139</v>
      </c>
      <c r="Q60">
        <v>5.6</v>
      </c>
      <c r="S60">
        <v>5.6</v>
      </c>
      <c r="T60">
        <v>5.6</v>
      </c>
    </row>
    <row r="61" spans="16:27" hidden="1" x14ac:dyDescent="0.3">
      <c r="P61" t="s">
        <v>140</v>
      </c>
      <c r="Q61">
        <v>5.3</v>
      </c>
      <c r="S61">
        <v>5.3</v>
      </c>
      <c r="T61">
        <v>5.3</v>
      </c>
    </row>
    <row r="62" spans="16:27" hidden="1" x14ac:dyDescent="0.3">
      <c r="P62" t="s">
        <v>141</v>
      </c>
      <c r="Q62">
        <v>5.0999999999999996</v>
      </c>
      <c r="S62">
        <v>5.0999999999999996</v>
      </c>
      <c r="T62">
        <v>5.0999999999999996</v>
      </c>
    </row>
    <row r="63" spans="16:27" hidden="1" x14ac:dyDescent="0.3">
      <c r="P63" t="s">
        <v>142</v>
      </c>
      <c r="Q63">
        <v>5.0999999999999996</v>
      </c>
      <c r="S63">
        <v>5.0999999999999996</v>
      </c>
      <c r="T63">
        <v>5.0999999999999996</v>
      </c>
    </row>
    <row r="64" spans="16:27" hidden="1" x14ac:dyDescent="0.3">
      <c r="P64" t="s">
        <v>143</v>
      </c>
      <c r="Q64">
        <v>4.9000000000000004</v>
      </c>
      <c r="S64">
        <v>4.9000000000000004</v>
      </c>
      <c r="T64">
        <v>4.9000000000000004</v>
      </c>
    </row>
    <row r="65" spans="16:20" hidden="1" x14ac:dyDescent="0.3">
      <c r="P65" t="s">
        <v>144</v>
      </c>
      <c r="Q65">
        <v>4.8</v>
      </c>
      <c r="S65">
        <v>4.8</v>
      </c>
      <c r="T65">
        <v>4.8</v>
      </c>
    </row>
    <row r="66" spans="16:20" hidden="1" x14ac:dyDescent="0.3">
      <c r="P66" t="s">
        <v>145</v>
      </c>
      <c r="Q66">
        <v>4.7</v>
      </c>
      <c r="S66">
        <v>4.7</v>
      </c>
      <c r="T66">
        <v>4.7</v>
      </c>
    </row>
    <row r="67" spans="16:20" hidden="1" x14ac:dyDescent="0.3">
      <c r="P67" t="s">
        <v>146</v>
      </c>
      <c r="Q67">
        <v>4.5999999999999996</v>
      </c>
      <c r="S67">
        <v>4.5999999999999996</v>
      </c>
      <c r="T67">
        <v>4.5999999999999996</v>
      </c>
    </row>
    <row r="68" spans="16:20" hidden="1" x14ac:dyDescent="0.3">
      <c r="P68" t="s">
        <v>147</v>
      </c>
      <c r="Q68">
        <v>4.4000000000000004</v>
      </c>
      <c r="S68">
        <v>4.4000000000000004</v>
      </c>
      <c r="T68">
        <v>4.4000000000000004</v>
      </c>
    </row>
    <row r="69" spans="16:20" hidden="1" x14ac:dyDescent="0.3">
      <c r="P69" t="s">
        <v>148</v>
      </c>
      <c r="Q69">
        <v>4.3</v>
      </c>
      <c r="S69">
        <v>4.3</v>
      </c>
      <c r="T69">
        <v>4.3</v>
      </c>
    </row>
    <row r="70" spans="16:20" hidden="1" x14ac:dyDescent="0.3">
      <c r="P70" t="s">
        <v>149</v>
      </c>
      <c r="Q70">
        <v>4.4000000000000004</v>
      </c>
      <c r="S70">
        <v>4.4000000000000004</v>
      </c>
      <c r="T70">
        <v>4.4000000000000004</v>
      </c>
    </row>
    <row r="71" spans="16:20" hidden="1" x14ac:dyDescent="0.3">
      <c r="P71" t="s">
        <v>150</v>
      </c>
      <c r="Q71">
        <v>4.2</v>
      </c>
      <c r="S71">
        <v>4.2</v>
      </c>
      <c r="T71">
        <v>4.2</v>
      </c>
    </row>
    <row r="72" spans="16:20" hidden="1" x14ac:dyDescent="0.3">
      <c r="P72" t="s">
        <v>151</v>
      </c>
      <c r="Q72">
        <v>4</v>
      </c>
      <c r="S72">
        <v>4</v>
      </c>
      <c r="T72">
        <v>4</v>
      </c>
    </row>
    <row r="73" spans="16:20" hidden="1" x14ac:dyDescent="0.3">
      <c r="P73" t="s">
        <v>152</v>
      </c>
      <c r="Q73">
        <v>4.0999999999999996</v>
      </c>
      <c r="S73">
        <v>4.0999999999999996</v>
      </c>
      <c r="T73">
        <v>4.0999999999999996</v>
      </c>
    </row>
    <row r="74" spans="16:20" hidden="1" x14ac:dyDescent="0.3">
      <c r="P74" t="s">
        <v>153</v>
      </c>
      <c r="Q74">
        <v>4</v>
      </c>
      <c r="S74">
        <v>4</v>
      </c>
      <c r="T74">
        <v>4</v>
      </c>
    </row>
    <row r="75" spans="16:20" hidden="1" x14ac:dyDescent="0.3">
      <c r="P75" t="s">
        <v>154</v>
      </c>
      <c r="Q75">
        <v>3.8</v>
      </c>
      <c r="S75">
        <v>3.8</v>
      </c>
      <c r="T75">
        <v>3.8</v>
      </c>
    </row>
    <row r="76" spans="16:20" hidden="1" x14ac:dyDescent="0.3">
      <c r="P76" t="s">
        <v>155</v>
      </c>
      <c r="Q76">
        <v>3.9</v>
      </c>
      <c r="S76">
        <v>3.9</v>
      </c>
      <c r="T76">
        <v>3.9</v>
      </c>
    </row>
    <row r="77" spans="16:20" hidden="1" x14ac:dyDescent="0.3">
      <c r="P77" t="s">
        <v>156</v>
      </c>
      <c r="Q77">
        <v>3.8</v>
      </c>
      <c r="S77">
        <v>3.8</v>
      </c>
      <c r="T77">
        <v>3.8</v>
      </c>
    </row>
    <row r="78" spans="16:20" hidden="1" x14ac:dyDescent="0.3">
      <c r="P78" t="s">
        <v>157</v>
      </c>
      <c r="Q78">
        <v>3.8</v>
      </c>
      <c r="R78">
        <v>3.8</v>
      </c>
      <c r="S78">
        <v>3.8</v>
      </c>
      <c r="T78">
        <v>3.8</v>
      </c>
    </row>
    <row r="79" spans="16:20" hidden="1" x14ac:dyDescent="0.3">
      <c r="P79" t="s">
        <v>158</v>
      </c>
      <c r="Q79">
        <v>4</v>
      </c>
      <c r="R79">
        <v>3.8</v>
      </c>
      <c r="S79">
        <v>4</v>
      </c>
      <c r="T79">
        <v>4</v>
      </c>
    </row>
    <row r="80" spans="16:20" hidden="1" x14ac:dyDescent="0.3">
      <c r="P80" t="s">
        <v>159</v>
      </c>
      <c r="Q80">
        <v>4.0999999999999996</v>
      </c>
      <c r="R80">
        <v>3.8</v>
      </c>
      <c r="S80">
        <v>4.0999999999999996</v>
      </c>
      <c r="T80">
        <v>4.0999999999999996</v>
      </c>
    </row>
    <row r="81" spans="16:23" hidden="1" x14ac:dyDescent="0.3">
      <c r="P81" t="s">
        <v>160</v>
      </c>
      <c r="Q81">
        <v>4.8</v>
      </c>
      <c r="R81">
        <v>3.9</v>
      </c>
      <c r="S81">
        <v>4.8</v>
      </c>
      <c r="T81">
        <v>4.8</v>
      </c>
      <c r="U81">
        <v>4.8</v>
      </c>
      <c r="W81">
        <v>4.8</v>
      </c>
    </row>
    <row r="82" spans="16:23" hidden="1" x14ac:dyDescent="0.3">
      <c r="P82" t="s">
        <v>161</v>
      </c>
      <c r="R82">
        <v>3.9</v>
      </c>
      <c r="S82">
        <v>5.0999999999999996</v>
      </c>
      <c r="T82">
        <v>4.8</v>
      </c>
      <c r="U82">
        <v>4.8</v>
      </c>
      <c r="V82">
        <v>0.4</v>
      </c>
      <c r="W82">
        <v>5.0999999999999996</v>
      </c>
    </row>
    <row r="83" spans="16:23" hidden="1" x14ac:dyDescent="0.3">
      <c r="P83" t="s">
        <v>162</v>
      </c>
      <c r="R83">
        <v>3.8</v>
      </c>
      <c r="S83">
        <v>5.7</v>
      </c>
      <c r="T83">
        <v>4.8</v>
      </c>
      <c r="U83">
        <v>5.0999999999999996</v>
      </c>
      <c r="V83">
        <v>1</v>
      </c>
      <c r="W83">
        <v>5.2</v>
      </c>
    </row>
    <row r="84" spans="16:23" hidden="1" x14ac:dyDescent="0.3">
      <c r="P84" t="s">
        <v>163</v>
      </c>
      <c r="R84">
        <v>3.8</v>
      </c>
      <c r="S84">
        <v>8.6999999999999993</v>
      </c>
      <c r="T84">
        <v>5.0999999999999996</v>
      </c>
      <c r="U84">
        <v>7.5</v>
      </c>
      <c r="V84">
        <v>3.7</v>
      </c>
      <c r="W84">
        <v>5.2</v>
      </c>
    </row>
    <row r="85" spans="16:23" hidden="1" x14ac:dyDescent="0.3">
      <c r="P85" t="s">
        <v>164</v>
      </c>
      <c r="R85">
        <v>3.8</v>
      </c>
      <c r="S85">
        <v>9.3000000000000007</v>
      </c>
      <c r="T85">
        <v>4.7</v>
      </c>
      <c r="U85">
        <v>7.4</v>
      </c>
      <c r="V85">
        <v>4.5999999999999996</v>
      </c>
      <c r="W85">
        <v>5.6</v>
      </c>
    </row>
    <row r="86" spans="16:23" hidden="1" x14ac:dyDescent="0.3">
      <c r="P86" t="s">
        <v>165</v>
      </c>
      <c r="R86">
        <v>3.9</v>
      </c>
      <c r="S86">
        <v>10</v>
      </c>
      <c r="T86">
        <v>4.2</v>
      </c>
      <c r="U86">
        <v>7.2</v>
      </c>
      <c r="V86">
        <v>5.8</v>
      </c>
      <c r="W86">
        <v>6.5</v>
      </c>
    </row>
    <row r="87" spans="16:23" hidden="1" x14ac:dyDescent="0.3">
      <c r="P87" t="s">
        <v>166</v>
      </c>
      <c r="R87">
        <v>3.9</v>
      </c>
      <c r="S87">
        <v>11</v>
      </c>
      <c r="T87">
        <v>3.9</v>
      </c>
      <c r="U87">
        <v>7</v>
      </c>
      <c r="V87">
        <v>7.1</v>
      </c>
      <c r="W87">
        <v>6.3</v>
      </c>
    </row>
    <row r="88" spans="16:23" hidden="1" x14ac:dyDescent="0.3">
      <c r="P88" t="s">
        <v>167</v>
      </c>
      <c r="R88">
        <v>3.9</v>
      </c>
      <c r="S88">
        <v>10.9</v>
      </c>
      <c r="T88">
        <v>3.9</v>
      </c>
      <c r="U88">
        <v>6.7</v>
      </c>
      <c r="V88">
        <v>7</v>
      </c>
      <c r="W88">
        <v>6</v>
      </c>
    </row>
    <row r="89" spans="16:23" hidden="1" x14ac:dyDescent="0.3">
      <c r="P89" t="s">
        <v>168</v>
      </c>
      <c r="R89">
        <v>3.9</v>
      </c>
      <c r="S89">
        <v>10</v>
      </c>
      <c r="T89">
        <v>3.9</v>
      </c>
      <c r="U89">
        <v>6.3</v>
      </c>
      <c r="V89">
        <v>6.1</v>
      </c>
      <c r="W89">
        <v>5.8</v>
      </c>
    </row>
    <row r="90" spans="16:23" hidden="1" x14ac:dyDescent="0.3">
      <c r="P90" t="s">
        <v>169</v>
      </c>
      <c r="R90">
        <v>3.9</v>
      </c>
      <c r="S90">
        <v>9.6999999999999993</v>
      </c>
      <c r="T90">
        <v>3.9</v>
      </c>
      <c r="U90">
        <v>6.1</v>
      </c>
      <c r="V90">
        <v>5.7</v>
      </c>
      <c r="W90">
        <v>5.6</v>
      </c>
    </row>
    <row r="91" spans="16:23" hidden="1" x14ac:dyDescent="0.3">
      <c r="P91" t="s">
        <v>170</v>
      </c>
      <c r="R91">
        <v>4</v>
      </c>
      <c r="S91">
        <v>9</v>
      </c>
      <c r="T91">
        <v>4</v>
      </c>
      <c r="U91">
        <v>5.8</v>
      </c>
      <c r="V91">
        <v>5</v>
      </c>
      <c r="W91">
        <v>5.4</v>
      </c>
    </row>
    <row r="92" spans="16:23" hidden="1" x14ac:dyDescent="0.3">
      <c r="P92" t="s">
        <v>171</v>
      </c>
      <c r="R92">
        <v>4</v>
      </c>
      <c r="S92">
        <v>8.3000000000000007</v>
      </c>
      <c r="T92">
        <v>4</v>
      </c>
      <c r="U92">
        <v>5.5</v>
      </c>
      <c r="V92">
        <v>4.3</v>
      </c>
      <c r="W92">
        <v>5.2</v>
      </c>
    </row>
    <row r="93" spans="16:23" hidden="1" x14ac:dyDescent="0.3">
      <c r="P93" t="s">
        <v>172</v>
      </c>
      <c r="R93">
        <v>4</v>
      </c>
      <c r="S93">
        <v>7.6</v>
      </c>
      <c r="T93">
        <v>4</v>
      </c>
      <c r="U93">
        <v>5.3</v>
      </c>
      <c r="V93">
        <v>3.5</v>
      </c>
      <c r="W93">
        <v>5</v>
      </c>
    </row>
    <row r="94" spans="16:23" hidden="1" x14ac:dyDescent="0.3">
      <c r="P94" t="s">
        <v>173</v>
      </c>
      <c r="R94">
        <v>4.0999999999999996</v>
      </c>
      <c r="S94">
        <v>6.9</v>
      </c>
      <c r="T94">
        <v>4.0999999999999996</v>
      </c>
      <c r="U94">
        <v>5</v>
      </c>
      <c r="V94">
        <v>2.8</v>
      </c>
      <c r="W94">
        <v>4.8</v>
      </c>
    </row>
    <row r="95" spans="16:23" hidden="1" x14ac:dyDescent="0.3">
      <c r="P95" t="s">
        <v>174</v>
      </c>
      <c r="R95">
        <v>4.0999999999999996</v>
      </c>
      <c r="S95">
        <v>6.1</v>
      </c>
      <c r="T95">
        <v>4.0999999999999996</v>
      </c>
      <c r="U95">
        <v>4.7</v>
      </c>
      <c r="V95">
        <v>2</v>
      </c>
      <c r="W95">
        <v>4.7</v>
      </c>
    </row>
    <row r="96" spans="16:23" hidden="1" x14ac:dyDescent="0.3">
      <c r="P96" t="s">
        <v>175</v>
      </c>
      <c r="R96">
        <v>4.0999999999999996</v>
      </c>
      <c r="S96">
        <v>5.8</v>
      </c>
      <c r="T96">
        <v>4.0999999999999996</v>
      </c>
      <c r="U96">
        <v>4.5999999999999996</v>
      </c>
      <c r="V96">
        <v>1.6</v>
      </c>
      <c r="W96">
        <v>4.5</v>
      </c>
    </row>
    <row r="97" spans="16:26" hidden="1" x14ac:dyDescent="0.3">
      <c r="P97" t="s">
        <v>176</v>
      </c>
      <c r="R97">
        <v>4.0999999999999996</v>
      </c>
      <c r="S97">
        <v>5.5</v>
      </c>
      <c r="T97">
        <v>4.0999999999999996</v>
      </c>
      <c r="U97">
        <v>4.5</v>
      </c>
      <c r="V97">
        <v>1.3</v>
      </c>
      <c r="W97">
        <v>4.5</v>
      </c>
    </row>
    <row r="98" spans="16:26" hidden="1" x14ac:dyDescent="0.3">
      <c r="P98" t="s">
        <v>177</v>
      </c>
      <c r="R98">
        <v>4.0999999999999996</v>
      </c>
      <c r="S98">
        <v>5.3</v>
      </c>
      <c r="T98">
        <v>4.0999999999999996</v>
      </c>
      <c r="U98">
        <v>4.4000000000000004</v>
      </c>
      <c r="V98">
        <v>1.1000000000000001</v>
      </c>
      <c r="W98">
        <v>4.4000000000000004</v>
      </c>
    </row>
    <row r="99" spans="16:26" hidden="1" x14ac:dyDescent="0.3">
      <c r="P99" t="s">
        <v>178</v>
      </c>
      <c r="R99">
        <v>4.0999999999999996</v>
      </c>
      <c r="S99">
        <v>5.2</v>
      </c>
      <c r="T99">
        <v>4.0999999999999996</v>
      </c>
      <c r="U99">
        <v>4.4000000000000004</v>
      </c>
      <c r="V99">
        <v>1.1000000000000001</v>
      </c>
      <c r="W99">
        <v>4.4000000000000004</v>
      </c>
    </row>
    <row r="100" spans="16:26" hidden="1" x14ac:dyDescent="0.3">
      <c r="P100" t="s">
        <v>179</v>
      </c>
      <c r="S100">
        <v>5.2</v>
      </c>
      <c r="T100">
        <v>4.0999999999999996</v>
      </c>
      <c r="U100">
        <v>4.4000000000000004</v>
      </c>
      <c r="V100">
        <v>1.1000000000000001</v>
      </c>
      <c r="W100">
        <v>4.4000000000000004</v>
      </c>
    </row>
    <row r="101" spans="16:26" hidden="1" x14ac:dyDescent="0.3">
      <c r="P101" t="s">
        <v>180</v>
      </c>
      <c r="S101">
        <v>5.2</v>
      </c>
      <c r="T101">
        <v>4.0999999999999996</v>
      </c>
      <c r="U101">
        <v>4.4000000000000004</v>
      </c>
      <c r="V101">
        <v>1.1000000000000001</v>
      </c>
      <c r="W101">
        <v>4.4000000000000004</v>
      </c>
    </row>
    <row r="102" spans="16:26" hidden="1" x14ac:dyDescent="0.3">
      <c r="P102" t="s">
        <v>181</v>
      </c>
      <c r="S102">
        <v>5.2</v>
      </c>
      <c r="T102">
        <v>4.0999999999999996</v>
      </c>
      <c r="U102">
        <v>4.4000000000000004</v>
      </c>
      <c r="V102">
        <v>1.1000000000000001</v>
      </c>
      <c r="W102">
        <v>4.4000000000000004</v>
      </c>
    </row>
    <row r="103" spans="16:26" hidden="1" x14ac:dyDescent="0.3">
      <c r="P103" t="s">
        <v>182</v>
      </c>
      <c r="S103">
        <v>5.2</v>
      </c>
      <c r="T103">
        <v>4.0999999999999996</v>
      </c>
      <c r="U103">
        <v>4.4000000000000004</v>
      </c>
      <c r="V103">
        <v>1.1000000000000001</v>
      </c>
      <c r="W103">
        <v>4.4000000000000004</v>
      </c>
    </row>
    <row r="108" spans="16:26" hidden="1" x14ac:dyDescent="0.3">
      <c r="T108" s="164">
        <f>T22</f>
        <v>1628615.5846317981</v>
      </c>
      <c r="U108" s="164">
        <f t="shared" ref="U108:Z108" si="14">U22</f>
        <v>1723812.8852903137</v>
      </c>
      <c r="V108" s="164">
        <f t="shared" si="14"/>
        <v>1793794.2991952354</v>
      </c>
      <c r="W108" s="164">
        <f t="shared" si="14"/>
        <v>1808144.6535887972</v>
      </c>
      <c r="X108" s="164">
        <f t="shared" si="14"/>
        <v>1822609.8108175076</v>
      </c>
      <c r="Y108" s="164">
        <f t="shared" si="14"/>
        <v>1837190.6893040475</v>
      </c>
      <c r="Z108" s="164">
        <f t="shared" si="14"/>
        <v>1851888.2148184797</v>
      </c>
    </row>
    <row r="109" spans="16:26" hidden="1" x14ac:dyDescent="0.3">
      <c r="T109" s="165">
        <f>T24</f>
        <v>-259816</v>
      </c>
      <c r="U109" s="165">
        <f t="shared" ref="U109:Z109" si="15">U24</f>
        <v>-282805.66236907674</v>
      </c>
      <c r="V109" s="165">
        <f t="shared" si="15"/>
        <v>-303248.7682773642</v>
      </c>
      <c r="W109" s="165">
        <f t="shared" si="15"/>
        <v>-303851.04382406001</v>
      </c>
      <c r="X109" s="165">
        <f t="shared" si="15"/>
        <v>-299621.3292894378</v>
      </c>
      <c r="Y109" s="165">
        <f t="shared" si="15"/>
        <v>-297940.66977847356</v>
      </c>
      <c r="Z109" s="165">
        <f t="shared" si="15"/>
        <v>-299863.62706485135</v>
      </c>
    </row>
    <row r="110" spans="16:26" hidden="1" x14ac:dyDescent="0.3">
      <c r="T110" s="166">
        <f>T13</f>
        <v>1342792.392523794</v>
      </c>
      <c r="U110" s="166">
        <f t="shared" ref="U110:Z110" si="16">U13</f>
        <v>1441007.2229212369</v>
      </c>
      <c r="V110" s="166">
        <f t="shared" si="16"/>
        <v>1490545.5309178713</v>
      </c>
      <c r="W110" s="166">
        <f t="shared" si="16"/>
        <v>1504293.6097647371</v>
      </c>
      <c r="X110" s="166">
        <f t="shared" si="16"/>
        <v>1522988.4815280698</v>
      </c>
      <c r="Y110" s="166">
        <f t="shared" si="16"/>
        <v>1539250.0195255741</v>
      </c>
      <c r="Z110" s="166">
        <f t="shared" si="16"/>
        <v>1552024.5877536284</v>
      </c>
    </row>
    <row r="111" spans="16:26" hidden="1" x14ac:dyDescent="0.3">
      <c r="T111" s="164">
        <f>T13</f>
        <v>1342792.392523794</v>
      </c>
      <c r="U111" s="164">
        <f t="shared" ref="U111:Z111" si="17">U13</f>
        <v>1441007.2229212369</v>
      </c>
      <c r="V111" s="164">
        <f t="shared" si="17"/>
        <v>1490545.5309178713</v>
      </c>
      <c r="W111" s="164">
        <f t="shared" si="17"/>
        <v>1504293.6097647371</v>
      </c>
      <c r="X111" s="164">
        <f t="shared" si="17"/>
        <v>1522988.4815280698</v>
      </c>
      <c r="Y111" s="164">
        <f t="shared" si="17"/>
        <v>1539250.0195255741</v>
      </c>
      <c r="Z111" s="164">
        <f t="shared" si="17"/>
        <v>1552024.5877536284</v>
      </c>
    </row>
    <row r="117" spans="20:26" hidden="1" x14ac:dyDescent="0.3">
      <c r="T117" s="164">
        <v>0</v>
      </c>
      <c r="U117" s="164">
        <f t="shared" ref="U117:Z120" si="18">U108/1000</f>
        <v>1723.8128852903137</v>
      </c>
      <c r="V117" s="164">
        <f t="shared" si="18"/>
        <v>1793.7942991952355</v>
      </c>
      <c r="W117" s="164">
        <f t="shared" si="18"/>
        <v>1808.1446535887972</v>
      </c>
      <c r="X117" s="164">
        <f t="shared" si="18"/>
        <v>1822.6098108175077</v>
      </c>
      <c r="Y117" s="164">
        <f t="shared" si="18"/>
        <v>1837.1906893040475</v>
      </c>
      <c r="Z117" s="164">
        <f t="shared" si="18"/>
        <v>1851.8882148184798</v>
      </c>
    </row>
    <row r="118" spans="20:26" hidden="1" x14ac:dyDescent="0.3">
      <c r="T118" s="164">
        <v>0</v>
      </c>
      <c r="U118" s="164">
        <f t="shared" si="18"/>
        <v>-282.80566236907674</v>
      </c>
      <c r="V118" s="164">
        <f t="shared" si="18"/>
        <v>-303.24876827736421</v>
      </c>
      <c r="W118" s="164">
        <f t="shared" si="18"/>
        <v>-303.85104382406001</v>
      </c>
      <c r="X118" s="164">
        <f t="shared" si="18"/>
        <v>-299.62132928943777</v>
      </c>
      <c r="Y118" s="164">
        <f t="shared" si="18"/>
        <v>-297.94066977847353</v>
      </c>
      <c r="Z118" s="164">
        <f t="shared" si="18"/>
        <v>-299.86362706485136</v>
      </c>
    </row>
    <row r="119" spans="20:26" hidden="1" x14ac:dyDescent="0.3">
      <c r="T119" s="166">
        <f>T117+T118</f>
        <v>0</v>
      </c>
      <c r="U119" s="166">
        <f t="shared" si="18"/>
        <v>1441.0072229212369</v>
      </c>
      <c r="V119" s="166">
        <f t="shared" si="18"/>
        <v>1490.5455309178712</v>
      </c>
      <c r="W119" s="166">
        <f t="shared" si="18"/>
        <v>1504.2936097647371</v>
      </c>
      <c r="X119" s="166">
        <f t="shared" si="18"/>
        <v>1522.9884815280698</v>
      </c>
      <c r="Y119" s="166">
        <f t="shared" si="18"/>
        <v>1539.2500195255741</v>
      </c>
      <c r="Z119" s="166">
        <f t="shared" si="18"/>
        <v>1552.0245877536283</v>
      </c>
    </row>
    <row r="120" spans="20:26" hidden="1" x14ac:dyDescent="0.3">
      <c r="T120" s="164"/>
      <c r="U120" s="164">
        <f t="shared" si="18"/>
        <v>1441.0072229212369</v>
      </c>
      <c r="V120" s="164">
        <f t="shared" si="18"/>
        <v>1490.5455309178712</v>
      </c>
      <c r="W120" s="164">
        <f t="shared" si="18"/>
        <v>1504.2936097647371</v>
      </c>
      <c r="X120" s="164">
        <f t="shared" si="18"/>
        <v>1522.9884815280698</v>
      </c>
      <c r="Y120" s="164">
        <f t="shared" si="18"/>
        <v>1539.2500195255741</v>
      </c>
      <c r="Z120" s="164">
        <f t="shared" si="18"/>
        <v>1552.0245877536283</v>
      </c>
    </row>
    <row r="121" spans="20:26" hidden="1" x14ac:dyDescent="0.3">
      <c r="U121" s="164">
        <f>U120-T120</f>
        <v>1441.0072229212369</v>
      </c>
      <c r="V121" s="164">
        <f t="shared" ref="V121:Z121" si="19">V120-U120</f>
        <v>49.53830799663433</v>
      </c>
      <c r="W121" s="164">
        <f t="shared" si="19"/>
        <v>13.748078846865837</v>
      </c>
      <c r="X121" s="164">
        <f t="shared" si="19"/>
        <v>18.694871763332685</v>
      </c>
      <c r="Y121" s="164">
        <f t="shared" si="19"/>
        <v>16.26153799750432</v>
      </c>
      <c r="Z121" s="164">
        <f t="shared" si="19"/>
        <v>12.77456822805425</v>
      </c>
    </row>
    <row r="122" spans="20:26" hidden="1" x14ac:dyDescent="0.3">
      <c r="U122" s="135" t="e">
        <f>U121/T120</f>
        <v>#DIV/0!</v>
      </c>
      <c r="V122" s="135">
        <f t="shared" ref="V122:Z122" si="20">V121/U120</f>
        <v>3.4377557036951792E-2</v>
      </c>
      <c r="W122" s="135">
        <f t="shared" si="20"/>
        <v>9.2235215642153725E-3</v>
      </c>
      <c r="X122" s="135">
        <f t="shared" si="20"/>
        <v>1.2427674785015178E-2</v>
      </c>
      <c r="Y122" s="135">
        <f t="shared" si="20"/>
        <v>1.067738738325094E-2</v>
      </c>
      <c r="Z122" s="135">
        <f t="shared" si="20"/>
        <v>8.2992158947586773E-3</v>
      </c>
    </row>
  </sheetData>
  <mergeCells count="10">
    <mergeCell ref="M40:X40"/>
    <mergeCell ref="P46:S46"/>
    <mergeCell ref="P47:S47"/>
    <mergeCell ref="A1:B1"/>
    <mergeCell ref="T8:T10"/>
    <mergeCell ref="U9:U10"/>
    <mergeCell ref="M36:X36"/>
    <mergeCell ref="M37:X37"/>
    <mergeCell ref="M38:X38"/>
    <mergeCell ref="M39:X39"/>
  </mergeCells>
  <hyperlinks>
    <hyperlink ref="A1" location="Contents!A1" display="Back to contents" xr:uid="{51FE995A-EFF2-4EBF-ABCD-932DF2447278}"/>
    <hyperlink ref="P54" r:id="rId1" xr:uid="{0E59887C-8DCE-479F-8FF5-99BEC54A7731}"/>
  </hyperlinks>
  <pageMargins left="0.7" right="0.7" top="0.75" bottom="0.75" header="0.3" footer="0.3"/>
  <pageSetup paperSize="9" scale="61" fitToHeight="0"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35916-A270-4C68-B31C-A59B73688532}">
  <sheetPr>
    <tabColor theme="0"/>
    <pageSetUpPr fitToPage="1"/>
  </sheetPr>
  <dimension ref="A1:K36"/>
  <sheetViews>
    <sheetView zoomScaleNormal="100" workbookViewId="0">
      <selection activeCell="D23" sqref="D23"/>
    </sheetView>
  </sheetViews>
  <sheetFormatPr defaultColWidth="0" defaultRowHeight="14.4" zeroHeight="1" x14ac:dyDescent="0.3"/>
  <cols>
    <col min="1" max="1" width="9.5546875" style="2" customWidth="1"/>
    <col min="2" max="2" width="47.88671875" style="2" bestFit="1" customWidth="1"/>
    <col min="3" max="9" width="10.77734375" style="2" customWidth="1"/>
    <col min="10" max="10" width="9.5546875" style="2" bestFit="1" customWidth="1"/>
  </cols>
  <sheetData>
    <row r="1" spans="1:11" x14ac:dyDescent="0.3">
      <c r="A1" s="186" t="s">
        <v>9</v>
      </c>
      <c r="B1" s="186"/>
      <c r="C1" s="1"/>
      <c r="D1" s="1"/>
      <c r="E1" s="1"/>
      <c r="F1" s="1"/>
      <c r="G1" s="1"/>
      <c r="H1" s="1"/>
      <c r="I1" s="1"/>
      <c r="J1" s="1"/>
      <c r="K1" s="13"/>
    </row>
    <row r="2" spans="1:11" x14ac:dyDescent="0.3">
      <c r="A2" s="1"/>
      <c r="B2" s="1"/>
      <c r="C2" s="1"/>
      <c r="D2" s="1"/>
      <c r="E2" s="1"/>
      <c r="F2" s="1"/>
      <c r="G2" s="1"/>
      <c r="H2" s="1"/>
      <c r="I2" s="1"/>
      <c r="J2" s="1"/>
      <c r="K2" s="13"/>
    </row>
    <row r="3" spans="1:11" ht="15.6" x14ac:dyDescent="0.3">
      <c r="A3" s="49">
        <v>3.1</v>
      </c>
      <c r="B3" s="18" t="s">
        <v>63</v>
      </c>
      <c r="C3" s="1"/>
      <c r="J3" s="1"/>
      <c r="K3" s="13"/>
    </row>
    <row r="4" spans="1:11" ht="15.6" x14ac:dyDescent="0.3">
      <c r="A4" s="18"/>
      <c r="B4" s="18"/>
      <c r="C4" s="1"/>
      <c r="J4" s="1"/>
      <c r="K4" s="13"/>
    </row>
    <row r="5" spans="1:11" ht="15.6" x14ac:dyDescent="0.3">
      <c r="A5" s="18"/>
      <c r="B5" s="18"/>
      <c r="C5" s="1"/>
      <c r="D5" s="1"/>
      <c r="E5" s="1"/>
      <c r="F5" s="1"/>
      <c r="G5" s="1"/>
      <c r="H5" s="1"/>
      <c r="I5" s="69" t="s">
        <v>78</v>
      </c>
      <c r="J5" s="1"/>
      <c r="K5" s="13"/>
    </row>
    <row r="6" spans="1:11" ht="30.6" customHeight="1" x14ac:dyDescent="0.3">
      <c r="A6" s="18"/>
      <c r="B6" s="47" t="s">
        <v>77</v>
      </c>
      <c r="C6" s="48" t="s">
        <v>10</v>
      </c>
      <c r="D6" s="48" t="s">
        <v>11</v>
      </c>
      <c r="E6" s="48" t="s">
        <v>12</v>
      </c>
      <c r="F6" s="48" t="s">
        <v>13</v>
      </c>
      <c r="G6" s="48" t="s">
        <v>14</v>
      </c>
      <c r="H6" s="48" t="s">
        <v>15</v>
      </c>
      <c r="I6" s="48" t="s">
        <v>16</v>
      </c>
      <c r="J6" s="1"/>
      <c r="K6" s="13"/>
    </row>
    <row r="7" spans="1:11" ht="7.05" customHeight="1" x14ac:dyDescent="0.3">
      <c r="A7" s="18"/>
      <c r="B7" s="8"/>
      <c r="C7" s="4"/>
      <c r="D7" s="4"/>
      <c r="E7" s="4"/>
      <c r="F7" s="4"/>
      <c r="G7" s="4"/>
      <c r="H7" s="4"/>
      <c r="I7" s="4"/>
      <c r="J7" s="1"/>
      <c r="K7" s="13"/>
    </row>
    <row r="8" spans="1:11" ht="14.4" customHeight="1" x14ac:dyDescent="0.3">
      <c r="A8" s="18"/>
      <c r="B8" s="4" t="s">
        <v>70</v>
      </c>
      <c r="C8" s="58">
        <v>3229.4810000000002</v>
      </c>
      <c r="D8" s="58">
        <v>3395.2440000000001</v>
      </c>
      <c r="E8" s="58">
        <v>3605.5444000000002</v>
      </c>
      <c r="F8" s="58">
        <v>3601.0616118850521</v>
      </c>
      <c r="G8" s="58">
        <v>3701.6549599861046</v>
      </c>
      <c r="H8" s="58">
        <v>3816.6587883018415</v>
      </c>
      <c r="I8" s="58">
        <v>3954.2809368421299</v>
      </c>
      <c r="J8" s="1"/>
      <c r="K8" s="13"/>
    </row>
    <row r="9" spans="1:11" ht="14.4" customHeight="1" x14ac:dyDescent="0.3">
      <c r="A9" s="18"/>
      <c r="B9" s="4" t="s">
        <v>205</v>
      </c>
      <c r="C9" s="58">
        <v>1007.95</v>
      </c>
      <c r="D9" s="58">
        <v>1079.2</v>
      </c>
      <c r="E9" s="58">
        <v>1045.95</v>
      </c>
      <c r="F9" s="58">
        <v>1102.5246956470824</v>
      </c>
      <c r="G9" s="58">
        <v>1123.342800906046</v>
      </c>
      <c r="H9" s="58">
        <v>1144.463206352842</v>
      </c>
      <c r="I9" s="58">
        <v>1166.6198483598685</v>
      </c>
      <c r="J9" s="1"/>
      <c r="K9" s="13"/>
    </row>
    <row r="10" spans="1:11" ht="14.4" customHeight="1" x14ac:dyDescent="0.3">
      <c r="A10" s="18"/>
      <c r="B10" s="4" t="s">
        <v>64</v>
      </c>
      <c r="C10" s="58">
        <v>1092.0442459199999</v>
      </c>
      <c r="D10" s="58">
        <v>1019.516915</v>
      </c>
      <c r="E10" s="58">
        <v>1077.188277</v>
      </c>
      <c r="F10" s="58">
        <v>1075.8490044047999</v>
      </c>
      <c r="G10" s="58">
        <v>1105.9021567993825</v>
      </c>
      <c r="H10" s="58">
        <v>1140.2605676046503</v>
      </c>
      <c r="I10" s="58">
        <v>1181.3764016138366</v>
      </c>
      <c r="J10" s="1"/>
      <c r="K10" s="13"/>
    </row>
    <row r="11" spans="1:11" ht="14.4" customHeight="1" x14ac:dyDescent="0.3">
      <c r="A11" s="18"/>
      <c r="B11" s="4" t="s">
        <v>80</v>
      </c>
      <c r="C11" s="58">
        <f>SUM(C12:C13)</f>
        <v>1368.8050000000001</v>
      </c>
      <c r="D11" s="58">
        <f t="shared" ref="D11:I11" si="0">SUM(D12:D13)</f>
        <v>1441.0072229212367</v>
      </c>
      <c r="E11" s="58">
        <f t="shared" si="0"/>
        <v>1490.5455309178712</v>
      </c>
      <c r="F11" s="58">
        <f t="shared" si="0"/>
        <v>1572.6795722572763</v>
      </c>
      <c r="G11" s="58">
        <f t="shared" si="0"/>
        <v>1663.9565691716905</v>
      </c>
      <c r="H11" s="58">
        <f t="shared" si="0"/>
        <v>1757.2246789198775</v>
      </c>
      <c r="I11" s="58">
        <f t="shared" si="0"/>
        <v>1851.6707656839833</v>
      </c>
      <c r="J11" s="1"/>
      <c r="K11" s="13"/>
    </row>
    <row r="12" spans="1:11" ht="12" customHeight="1" x14ac:dyDescent="0.3">
      <c r="A12" s="18"/>
      <c r="B12" s="66" t="s">
        <v>85</v>
      </c>
      <c r="C12" s="67">
        <v>1628.6210000000001</v>
      </c>
      <c r="D12" s="67">
        <v>1723.8128852903135</v>
      </c>
      <c r="E12" s="67">
        <v>1793.7942991952355</v>
      </c>
      <c r="F12" s="67">
        <v>1889.511163000293</v>
      </c>
      <c r="G12" s="67">
        <v>1990.3354786579889</v>
      </c>
      <c r="H12" s="67">
        <v>2096.5397797991791</v>
      </c>
      <c r="I12" s="67">
        <v>2208.411142449263</v>
      </c>
      <c r="J12" s="1"/>
      <c r="K12" s="13"/>
    </row>
    <row r="13" spans="1:11" ht="12" customHeight="1" x14ac:dyDescent="0.3">
      <c r="A13" s="18"/>
      <c r="B13" s="66" t="s">
        <v>65</v>
      </c>
      <c r="C13" s="67">
        <v>-259.81599999999997</v>
      </c>
      <c r="D13" s="67">
        <v>-282.80566236907674</v>
      </c>
      <c r="E13" s="67">
        <v>-303.24876827736421</v>
      </c>
      <c r="F13" s="67">
        <v>-316.8315907430167</v>
      </c>
      <c r="G13" s="67">
        <v>-326.37890948629843</v>
      </c>
      <c r="H13" s="67">
        <v>-339.31510087930161</v>
      </c>
      <c r="I13" s="67">
        <v>-356.74037676527973</v>
      </c>
      <c r="J13" s="1"/>
      <c r="K13" s="13"/>
    </row>
    <row r="14" spans="1:11" ht="14.4" customHeight="1" x14ac:dyDescent="0.3">
      <c r="A14" s="18"/>
      <c r="B14" s="4" t="s">
        <v>66</v>
      </c>
      <c r="C14" s="58">
        <v>-4.7370000000000001</v>
      </c>
      <c r="D14" s="58">
        <v>-4.92</v>
      </c>
      <c r="E14" s="58">
        <v>-4.92</v>
      </c>
      <c r="F14" s="58">
        <v>-4.92</v>
      </c>
      <c r="G14" s="58">
        <v>-4.92</v>
      </c>
      <c r="H14" s="58">
        <v>-4.92</v>
      </c>
      <c r="I14" s="58">
        <v>-4.92</v>
      </c>
      <c r="J14" s="1"/>
      <c r="K14" s="13"/>
    </row>
    <row r="15" spans="1:11" ht="14.4" customHeight="1" x14ac:dyDescent="0.3">
      <c r="A15" s="18"/>
      <c r="B15" s="4" t="s">
        <v>67</v>
      </c>
      <c r="C15" s="58">
        <v>-23.77</v>
      </c>
      <c r="D15" s="58">
        <v>94.207999999999998</v>
      </c>
      <c r="E15" s="58">
        <v>47.103999999999999</v>
      </c>
      <c r="F15" s="58">
        <v>0</v>
      </c>
      <c r="G15" s="58">
        <v>0</v>
      </c>
      <c r="H15" s="58">
        <v>0</v>
      </c>
      <c r="I15" s="58">
        <v>0</v>
      </c>
      <c r="J15" s="1"/>
      <c r="K15" s="13"/>
    </row>
    <row r="16" spans="1:11" ht="14.4" customHeight="1" x14ac:dyDescent="0.3">
      <c r="A16" s="18"/>
      <c r="B16" s="4" t="s">
        <v>68</v>
      </c>
      <c r="C16" s="58">
        <v>1.4419999999999999</v>
      </c>
      <c r="D16" s="58">
        <v>-1.5329999999999999</v>
      </c>
      <c r="E16" s="58">
        <v>0</v>
      </c>
      <c r="F16" s="58">
        <v>0</v>
      </c>
      <c r="G16" s="58">
        <v>0</v>
      </c>
      <c r="H16" s="58">
        <v>0</v>
      </c>
      <c r="I16" s="58">
        <v>0</v>
      </c>
      <c r="J16" s="1"/>
      <c r="K16" s="13"/>
    </row>
    <row r="17" spans="1:11" ht="14.4" customHeight="1" x14ac:dyDescent="0.3">
      <c r="A17" s="18"/>
      <c r="B17" s="8" t="s">
        <v>81</v>
      </c>
      <c r="C17" s="59">
        <f>SUM(C14:C16,C8:C11)</f>
        <v>6671.2152459200006</v>
      </c>
      <c r="D17" s="59">
        <f t="shared" ref="D17:I17" si="1">SUM(D14:D16,D8:D11)</f>
        <v>7022.7231379212371</v>
      </c>
      <c r="E17" s="59">
        <f t="shared" si="1"/>
        <v>7261.4122079178724</v>
      </c>
      <c r="F17" s="59">
        <f t="shared" si="1"/>
        <v>7347.1948841942094</v>
      </c>
      <c r="G17" s="59">
        <f t="shared" si="1"/>
        <v>7589.9364868632238</v>
      </c>
      <c r="H17" s="59">
        <f t="shared" si="1"/>
        <v>7853.6872411792119</v>
      </c>
      <c r="I17" s="59">
        <f t="shared" si="1"/>
        <v>8149.0279524998186</v>
      </c>
      <c r="J17" s="1"/>
      <c r="K17" s="13"/>
    </row>
    <row r="18" spans="1:11" ht="14.4" customHeight="1" x14ac:dyDescent="0.3">
      <c r="A18" s="18"/>
      <c r="B18" s="8"/>
      <c r="C18" s="59"/>
      <c r="D18" s="59"/>
      <c r="E18" s="59"/>
      <c r="F18" s="59"/>
      <c r="G18" s="59"/>
      <c r="H18" s="59"/>
      <c r="I18" s="59"/>
      <c r="J18" s="1"/>
      <c r="K18" s="13"/>
    </row>
    <row r="19" spans="1:11" ht="14.4" customHeight="1" x14ac:dyDescent="0.3">
      <c r="A19" s="18"/>
      <c r="B19" s="4" t="s">
        <v>69</v>
      </c>
      <c r="C19" s="58">
        <v>-345.42731455000001</v>
      </c>
      <c r="D19" s="58">
        <f>D17*D20</f>
        <v>-436.8872681688847</v>
      </c>
      <c r="E19" s="58">
        <f t="shared" ref="E19:I19" si="2">E17*E20</f>
        <v>-451.73623966962782</v>
      </c>
      <c r="F19" s="58">
        <f t="shared" si="2"/>
        <v>-457.07282468922153</v>
      </c>
      <c r="G19" s="58">
        <f t="shared" si="2"/>
        <v>-472.17390636056791</v>
      </c>
      <c r="H19" s="58">
        <f t="shared" si="2"/>
        <v>-488.58197831037614</v>
      </c>
      <c r="I19" s="58">
        <f t="shared" si="2"/>
        <v>-506.95527795694443</v>
      </c>
      <c r="J19" s="1"/>
      <c r="K19" s="13"/>
    </row>
    <row r="20" spans="1:11" ht="12" customHeight="1" x14ac:dyDescent="0.3">
      <c r="A20" s="18"/>
      <c r="B20" s="66" t="s">
        <v>71</v>
      </c>
      <c r="C20" s="68">
        <f>C19/C17</f>
        <v>-5.1778769207193147E-2</v>
      </c>
      <c r="D20" s="68">
        <v>-6.2210521415800198E-2</v>
      </c>
      <c r="E20" s="68">
        <v>-6.2210521415800198E-2</v>
      </c>
      <c r="F20" s="68">
        <v>-6.2210521415800198E-2</v>
      </c>
      <c r="G20" s="68">
        <v>-6.2210521415800198E-2</v>
      </c>
      <c r="H20" s="68">
        <v>-6.2210521415800198E-2</v>
      </c>
      <c r="I20" s="68">
        <v>-6.2210521415800198E-2</v>
      </c>
      <c r="J20" s="1"/>
      <c r="K20" s="13"/>
    </row>
    <row r="21" spans="1:11" ht="14.4" customHeight="1" x14ac:dyDescent="0.3">
      <c r="A21" s="18"/>
      <c r="B21" s="8" t="s">
        <v>72</v>
      </c>
      <c r="C21" s="59">
        <f>C17+C19</f>
        <v>6325.7879313700005</v>
      </c>
      <c r="D21" s="59">
        <f t="shared" ref="D21:I21" si="3">D17+D19</f>
        <v>6585.8358697523527</v>
      </c>
      <c r="E21" s="59">
        <f t="shared" si="3"/>
        <v>6809.6759682482443</v>
      </c>
      <c r="F21" s="59">
        <f t="shared" si="3"/>
        <v>6890.1220595049881</v>
      </c>
      <c r="G21" s="59">
        <f t="shared" si="3"/>
        <v>7117.7625805026555</v>
      </c>
      <c r="H21" s="59">
        <f t="shared" si="3"/>
        <v>7365.1052628688358</v>
      </c>
      <c r="I21" s="59">
        <f t="shared" si="3"/>
        <v>7642.0726745428747</v>
      </c>
      <c r="J21" s="1"/>
      <c r="K21" s="13"/>
    </row>
    <row r="22" spans="1:11" ht="14.4" customHeight="1" x14ac:dyDescent="0.3">
      <c r="A22" s="18"/>
      <c r="B22" s="8"/>
      <c r="C22" s="59"/>
      <c r="D22" s="59"/>
      <c r="E22" s="59"/>
      <c r="F22" s="59"/>
      <c r="G22" s="59"/>
      <c r="H22" s="59"/>
      <c r="I22" s="59"/>
      <c r="J22" s="1"/>
      <c r="K22" s="13"/>
    </row>
    <row r="23" spans="1:11" ht="14.4" customHeight="1" x14ac:dyDescent="0.3">
      <c r="A23" s="18"/>
      <c r="B23" s="4" t="s">
        <v>73</v>
      </c>
      <c r="C23" s="58">
        <v>-199.11680565</v>
      </c>
      <c r="D23" s="58">
        <f>D17*D24</f>
        <v>-210.09910835572168</v>
      </c>
      <c r="E23" s="58">
        <f t="shared" ref="E23:I23" si="4">E17*E24</f>
        <v>-217.23997946735057</v>
      </c>
      <c r="F23" s="58">
        <f t="shared" si="4"/>
        <v>-219.80634346092825</v>
      </c>
      <c r="G23" s="58">
        <f t="shared" si="4"/>
        <v>-227.06845436577234</v>
      </c>
      <c r="H23" s="58">
        <f t="shared" si="4"/>
        <v>-234.95909695863139</v>
      </c>
      <c r="I23" s="58">
        <f t="shared" si="4"/>
        <v>-243.7948176457453</v>
      </c>
      <c r="J23" s="1"/>
      <c r="K23" s="13"/>
    </row>
    <row r="24" spans="1:11" ht="12" customHeight="1" x14ac:dyDescent="0.3">
      <c r="A24" s="18"/>
      <c r="B24" s="66" t="s">
        <v>71</v>
      </c>
      <c r="C24" s="68">
        <f>C23/C17</f>
        <v>-2.9847156523959615E-2</v>
      </c>
      <c r="D24" s="68">
        <v>-2.9917042752437499E-2</v>
      </c>
      <c r="E24" s="68">
        <v>-2.9917042752437499E-2</v>
      </c>
      <c r="F24" s="68">
        <v>-2.9917042752437499E-2</v>
      </c>
      <c r="G24" s="68">
        <v>-2.9917042752437499E-2</v>
      </c>
      <c r="H24" s="68">
        <v>-2.9917042752437499E-2</v>
      </c>
      <c r="I24" s="68">
        <v>-2.9917042752437499E-2</v>
      </c>
      <c r="J24" s="1"/>
      <c r="K24" s="13"/>
    </row>
    <row r="25" spans="1:11" ht="14.4" customHeight="1" x14ac:dyDescent="0.3">
      <c r="A25" s="18"/>
      <c r="B25" s="8" t="s">
        <v>74</v>
      </c>
      <c r="C25" s="59">
        <f>SUM(C21,C23)</f>
        <v>6126.6711257200004</v>
      </c>
      <c r="D25" s="59">
        <f t="shared" ref="D25:I25" si="5">SUM(D21,D23)</f>
        <v>6375.7367613966308</v>
      </c>
      <c r="E25" s="59">
        <f t="shared" si="5"/>
        <v>6592.4359887808941</v>
      </c>
      <c r="F25" s="59">
        <f t="shared" si="5"/>
        <v>6670.3157160440596</v>
      </c>
      <c r="G25" s="59">
        <f t="shared" si="5"/>
        <v>6890.6941261368829</v>
      </c>
      <c r="H25" s="59">
        <f t="shared" si="5"/>
        <v>7130.1461659102042</v>
      </c>
      <c r="I25" s="59">
        <f t="shared" si="5"/>
        <v>7398.2778568971298</v>
      </c>
      <c r="J25" s="1"/>
      <c r="K25" s="13"/>
    </row>
    <row r="26" spans="1:11" ht="14.4" customHeight="1" x14ac:dyDescent="0.3">
      <c r="A26" s="18"/>
      <c r="B26" s="8"/>
      <c r="C26" s="59"/>
      <c r="D26" s="59"/>
      <c r="E26" s="59"/>
      <c r="F26" s="59"/>
      <c r="G26" s="59"/>
      <c r="H26" s="59"/>
      <c r="I26" s="59"/>
      <c r="J26" s="1"/>
      <c r="K26" s="13"/>
    </row>
    <row r="27" spans="1:11" ht="14.4" customHeight="1" x14ac:dyDescent="0.3">
      <c r="A27" s="18"/>
      <c r="B27" s="4" t="s">
        <v>75</v>
      </c>
      <c r="C27" s="58">
        <v>1292.55899215871</v>
      </c>
      <c r="D27" s="58">
        <f>D25*D28</f>
        <v>1339.7398016274501</v>
      </c>
      <c r="E27" s="58">
        <f t="shared" ref="E27:I27" si="6">E25*E28</f>
        <v>1390.82255970253</v>
      </c>
      <c r="F27" s="58">
        <f t="shared" si="6"/>
        <v>1407.2530387857389</v>
      </c>
      <c r="G27" s="58">
        <f t="shared" si="6"/>
        <v>1453.746818164125</v>
      </c>
      <c r="H27" s="58">
        <f t="shared" si="6"/>
        <v>1504.264608469605</v>
      </c>
      <c r="I27" s="58">
        <f t="shared" si="6"/>
        <v>1560.8330158732476</v>
      </c>
      <c r="J27" s="1"/>
      <c r="K27" s="13"/>
    </row>
    <row r="28" spans="1:11" ht="12" customHeight="1" x14ac:dyDescent="0.3">
      <c r="A28" s="18"/>
      <c r="B28" s="66" t="s">
        <v>76</v>
      </c>
      <c r="C28" s="68">
        <f>C27/C25</f>
        <v>0.21097247846918007</v>
      </c>
      <c r="D28" s="68">
        <v>0.21013097807601058</v>
      </c>
      <c r="E28" s="68">
        <v>0.21097247846918082</v>
      </c>
      <c r="F28" s="68">
        <v>0.21097247846918007</v>
      </c>
      <c r="G28" s="68">
        <v>0.21097247846918094</v>
      </c>
      <c r="H28" s="68">
        <v>0.21097247846918116</v>
      </c>
      <c r="I28" s="68">
        <v>0.21097247846918091</v>
      </c>
      <c r="J28" s="1"/>
      <c r="K28" s="13"/>
    </row>
    <row r="29" spans="1:11" ht="14.4" customHeight="1" x14ac:dyDescent="0.3">
      <c r="A29" s="18"/>
      <c r="B29" s="8" t="s">
        <v>82</v>
      </c>
      <c r="C29" s="59">
        <f>SUM(C25,C27)</f>
        <v>7419.2301178787102</v>
      </c>
      <c r="D29" s="59">
        <f t="shared" ref="D29:I29" si="7">SUM(D25,D27)</f>
        <v>7715.4765630240809</v>
      </c>
      <c r="E29" s="59">
        <f t="shared" si="7"/>
        <v>7983.2585484834244</v>
      </c>
      <c r="F29" s="59">
        <f t="shared" si="7"/>
        <v>8077.5687548297983</v>
      </c>
      <c r="G29" s="59">
        <f t="shared" si="7"/>
        <v>8344.4409443010081</v>
      </c>
      <c r="H29" s="59">
        <f t="shared" si="7"/>
        <v>8634.4107743798086</v>
      </c>
      <c r="I29" s="59">
        <f t="shared" si="7"/>
        <v>8959.1108727703777</v>
      </c>
      <c r="J29" s="1"/>
      <c r="K29" s="13"/>
    </row>
    <row r="30" spans="1:11" ht="7.05" customHeight="1" x14ac:dyDescent="0.3">
      <c r="A30" s="18"/>
      <c r="B30" s="37"/>
      <c r="C30" s="38"/>
      <c r="D30" s="39"/>
      <c r="E30" s="40"/>
      <c r="F30" s="40"/>
      <c r="G30" s="40"/>
      <c r="H30" s="40"/>
      <c r="I30" s="40"/>
      <c r="J30" s="1"/>
      <c r="K30" s="13"/>
    </row>
    <row r="31" spans="1:11" ht="14.4" customHeight="1" x14ac:dyDescent="0.3">
      <c r="A31" s="18"/>
      <c r="B31" s="50" t="s">
        <v>84</v>
      </c>
      <c r="C31" s="1"/>
      <c r="D31" s="1"/>
      <c r="E31" s="1"/>
      <c r="F31" s="1"/>
      <c r="G31" s="1"/>
      <c r="H31" s="1"/>
      <c r="I31" s="49"/>
      <c r="J31" s="1"/>
      <c r="K31" s="13"/>
    </row>
    <row r="32" spans="1:11" ht="14.4" customHeight="1" x14ac:dyDescent="0.3">
      <c r="A32" s="18"/>
      <c r="B32" s="50" t="s">
        <v>83</v>
      </c>
      <c r="C32" s="174"/>
      <c r="D32" s="174"/>
      <c r="E32" s="174"/>
      <c r="F32" s="174"/>
      <c r="G32" s="174"/>
      <c r="H32" s="174"/>
      <c r="I32" s="174"/>
      <c r="J32" s="1"/>
      <c r="K32" s="13"/>
    </row>
    <row r="33" spans="1:11" ht="14.4" customHeight="1" x14ac:dyDescent="0.3">
      <c r="A33" s="18"/>
      <c r="B33" s="194" t="s">
        <v>206</v>
      </c>
      <c r="C33" s="194"/>
      <c r="D33" s="194"/>
      <c r="E33" s="194"/>
      <c r="F33" s="194"/>
      <c r="G33" s="194"/>
      <c r="H33" s="194"/>
      <c r="I33" s="194"/>
      <c r="J33" s="1"/>
      <c r="K33" s="13"/>
    </row>
    <row r="34" spans="1:11" ht="14.4" customHeight="1" x14ac:dyDescent="0.3">
      <c r="A34" s="18"/>
      <c r="B34" s="194"/>
      <c r="C34" s="194"/>
      <c r="D34" s="194"/>
      <c r="E34" s="194"/>
      <c r="F34" s="194"/>
      <c r="G34" s="194"/>
      <c r="H34" s="194"/>
      <c r="I34" s="194"/>
      <c r="J34" s="1"/>
      <c r="K34" s="13"/>
    </row>
    <row r="35" spans="1:11" ht="15.6" x14ac:dyDescent="0.3">
      <c r="A35" s="18"/>
      <c r="B35" s="193"/>
      <c r="C35" s="193"/>
      <c r="D35" s="193"/>
      <c r="E35" s="193"/>
      <c r="F35" s="193"/>
      <c r="G35" s="193"/>
      <c r="H35" s="193"/>
      <c r="I35" s="193"/>
      <c r="J35" s="1"/>
      <c r="K35" s="13"/>
    </row>
    <row r="36" spans="1:11" ht="15.6" x14ac:dyDescent="0.3">
      <c r="A36" s="18"/>
      <c r="B36" s="18"/>
      <c r="C36" s="1"/>
      <c r="D36" s="173"/>
      <c r="E36" s="173"/>
      <c r="F36" s="173"/>
      <c r="G36" s="173"/>
      <c r="H36" s="173"/>
      <c r="I36" s="173"/>
      <c r="J36" s="1"/>
      <c r="K36" s="13"/>
    </row>
  </sheetData>
  <mergeCells count="2">
    <mergeCell ref="A1:B1"/>
    <mergeCell ref="B33:I34"/>
  </mergeCells>
  <hyperlinks>
    <hyperlink ref="A1" location="Contents!A1" display="Back to contents" xr:uid="{119B05B2-8333-4AFC-A56D-BCFF38DA16B0}"/>
  </hyperlinks>
  <pageMargins left="0.7" right="0.7" top="0.75" bottom="0.75" header="0.3" footer="0.3"/>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Dalenni Gwaith</vt:lpstr>
      </vt:variant>
      <vt:variant>
        <vt:i4>12</vt:i4>
      </vt:variant>
      <vt:variant>
        <vt:lpstr>Ystodau a Enwyd</vt:lpstr>
      </vt:variant>
      <vt:variant>
        <vt:i4>11</vt:i4>
      </vt:variant>
    </vt:vector>
  </HeadingPairs>
  <TitlesOfParts>
    <vt:vector size="23" baseType="lpstr">
      <vt:lpstr>Contents</vt:lpstr>
      <vt:lpstr>1. Funding gap</vt:lpstr>
      <vt:lpstr>1.1</vt:lpstr>
      <vt:lpstr>2. Spending pressures</vt:lpstr>
      <vt:lpstr>2.1</vt:lpstr>
      <vt:lpstr>2.2</vt:lpstr>
      <vt:lpstr>2.3</vt:lpstr>
      <vt:lpstr>3. Revenues outlook</vt:lpstr>
      <vt:lpstr>3.1</vt:lpstr>
      <vt:lpstr>3.2</vt:lpstr>
      <vt:lpstr>3.3</vt:lpstr>
      <vt:lpstr>3.4</vt:lpstr>
      <vt:lpstr>'1.1'!Ardal_Argraffu</vt:lpstr>
      <vt:lpstr>'2. Spending pressures'!Ardal_Argraffu</vt:lpstr>
      <vt:lpstr>'2.1'!Ardal_Argraffu</vt:lpstr>
      <vt:lpstr>'2.2'!Ardal_Argraffu</vt:lpstr>
      <vt:lpstr>'2.3'!Ardal_Argraffu</vt:lpstr>
      <vt:lpstr>'3. Revenues outlook'!Ardal_Argraffu</vt:lpstr>
      <vt:lpstr>'3.1'!Ardal_Argraffu</vt:lpstr>
      <vt:lpstr>'3.2'!Ardal_Argraffu</vt:lpstr>
      <vt:lpstr>'3.3'!Ardal_Argraffu</vt:lpstr>
      <vt:lpstr>'3.4'!Ardal_Argraffu</vt:lpstr>
      <vt:lpstr>Contents!Ardal_Argraffu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Cian</dc:creator>
  <cp:lastModifiedBy>Cian</cp:lastModifiedBy>
  <cp:lastPrinted>2021-04-12T11:04:29Z</cp:lastPrinted>
  <dcterms:created xsi:type="dcterms:W3CDTF">2021-03-24T16:39:08Z</dcterms:created>
  <dcterms:modified xsi:type="dcterms:W3CDTF">2021-04-15T08:52:22Z</dcterms:modified>
</cp:coreProperties>
</file>